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" sheetId="2" r:id="rId2"/>
  </sheets>
  <definedNames>
    <definedName name="_xlnm.Print_Area" localSheetId="1">'січень'!$A$1:$R$87</definedName>
  </definedNames>
  <calcPr fullCalcOnLoad="1"/>
</workbook>
</file>

<file path=xl/sharedStrings.xml><?xml version="1.0" encoding="utf-8"?>
<sst xmlns="http://schemas.openxmlformats.org/spreadsheetml/2006/main" count="246" uniqueCount="127">
  <si>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</si>
  <si>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</si>
  <si>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</si>
  <si>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</si>
  <si>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</si>
  <si>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</si>
  <si>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</si>
  <si>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</si>
  <si>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</si>
  <si>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</si>
  <si>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</si>
  <si>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</si>
  <si>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</si>
  <si>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</si>
  <si>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</si>
  <si>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</si>
  <si>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</si>
  <si>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</si>
  <si>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</si>
  <si>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</si>
  <si>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</si>
  <si>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</si>
  <si>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</si>
  <si>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</si>
  <si>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</si>
  <si>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</si>
  <si>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</si>
  <si>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</si>
  <si>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</si>
  <si>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</si>
  <si>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</si>
  <si>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</si>
  <si>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</si>
  <si>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</si>
  <si>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</si>
  <si>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</si>
  <si>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</si>
  <si>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</si>
  <si>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</si>
  <si>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</si>
  <si>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</si>
  <si>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</si>
  <si>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</si>
  <si>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</si>
  <si>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</si>
  <si>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</si>
  <si>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</si>
  <si>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</si>
  <si>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</si>
  <si>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</si>
  <si>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</si>
  <si>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</si>
  <si>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</si>
  <si>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</si>
  <si>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</si>
  <si>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</si>
  <si>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</si>
  <si>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</si>
  <si>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</si>
  <si>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</si>
  <si>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</si>
  <si>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</si>
  <si>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</si>
  <si>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</si>
  <si>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</si>
  <si>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</si>
  <si>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</si>
  <si>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Динаміка  фактичних надходжень січень 2013 та 2014 років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</si>
  <si>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</si>
  <si>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</si>
  <si>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</si>
  <si>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</si>
  <si>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</si>
  <si>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</si>
  <si>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</si>
  <si>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</si>
  <si>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</si>
  <si>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</si>
  <si>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</si>
  <si>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</si>
  <si>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</si>
  <si>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</si>
  <si>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</si>
  <si>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</si>
  <si>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</si>
  <si>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</si>
  <si>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</si>
  <si>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</si>
  <si>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</si>
  <si>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</si>
  <si>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</si>
  <si>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</si>
  <si>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</si>
  <si>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</si>
  <si>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</si>
  <si>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</si>
  <si>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</si>
  <si>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</si>
  <si>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</si>
  <si>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</si>
  <si>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</si>
  <si>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</si>
  <si>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</si>
  <si>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</si>
  <si>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</si>
  <si>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</si>
  <si>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</si>
  <si>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</si>
  <si>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</si>
  <si>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</si>
  <si>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</si>
  <si>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</si>
  <si>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</si>
  <si>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</si>
  <si>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</si>
  <si>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</si>
  <si>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</si>
  <si>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 І квартал 2016 року</t>
    </r>
  </si>
  <si>
    <t>Тимчасовий план  на січень-лютий</t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</si>
  <si>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</si>
  <si>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</si>
  <si>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</si>
  <si>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</si>
  <si>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01.02.16 </t>
    </r>
    <r>
      <rPr>
        <b/>
        <sz val="10"/>
        <rFont val="Times New Roman"/>
        <family val="1"/>
      </rPr>
      <t>включно</t>
    </r>
  </si>
  <si>
    <t>Виконано у лютому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</si>
  <si>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02.02.2016</t>
    </r>
    <r>
      <rPr>
        <b/>
        <sz val="16"/>
        <rFont val="Times New Roman"/>
        <family val="1"/>
      </rPr>
      <t>р.</t>
    </r>
  </si>
  <si>
    <t>Динаміка  фактичних надходжень лютий 2016 та 2015 років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</si>
</sst>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25" fillId="35" borderId="13" xfId="0" applyNumberFormat="1" applyFont="1" applyFill="1" applyBorder="1" applyAlignment="1" applyProtection="1">
      <alignment horizontal="center" vertical="center" wrapText="1"/>
      <protection/>
    </xf>
    <xf numFmtId="182" fontId="25" fillId="35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7" sqref="D8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75" t="s">
        <v>125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92"/>
      <c r="R1" s="93"/>
    </row>
    <row r="2" spans="2:18" s="1" customFormat="1" ht="15.75" customHeight="1">
      <c r="B2" s="176"/>
      <c r="C2" s="176"/>
      <c r="D2" s="17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77"/>
      <c r="B3" s="179"/>
      <c r="C3" s="180" t="s">
        <v>0</v>
      </c>
      <c r="D3" s="181" t="s">
        <v>117</v>
      </c>
      <c r="E3" s="34"/>
      <c r="F3" s="182" t="s">
        <v>26</v>
      </c>
      <c r="G3" s="183"/>
      <c r="H3" s="183"/>
      <c r="I3" s="183"/>
      <c r="J3" s="184"/>
      <c r="K3" s="89"/>
      <c r="L3" s="89"/>
      <c r="M3" s="185" t="s">
        <v>122</v>
      </c>
      <c r="N3" s="186" t="s">
        <v>124</v>
      </c>
      <c r="O3" s="186"/>
      <c r="P3" s="186"/>
      <c r="Q3" s="186"/>
      <c r="R3" s="186"/>
    </row>
    <row r="4" spans="1:18" ht="22.5" customHeight="1">
      <c r="A4" s="177"/>
      <c r="B4" s="179"/>
      <c r="C4" s="180"/>
      <c r="D4" s="181"/>
      <c r="E4" s="187" t="s">
        <v>118</v>
      </c>
      <c r="F4" s="169" t="s">
        <v>34</v>
      </c>
      <c r="G4" s="163" t="s">
        <v>119</v>
      </c>
      <c r="H4" s="171" t="s">
        <v>120</v>
      </c>
      <c r="I4" s="163" t="s">
        <v>106</v>
      </c>
      <c r="J4" s="171" t="s">
        <v>107</v>
      </c>
      <c r="K4" s="91" t="s">
        <v>65</v>
      </c>
      <c r="L4" s="96" t="s">
        <v>64</v>
      </c>
      <c r="M4" s="171"/>
      <c r="N4" s="173" t="s">
        <v>123</v>
      </c>
      <c r="O4" s="163" t="s">
        <v>50</v>
      </c>
      <c r="P4" s="165" t="s">
        <v>49</v>
      </c>
      <c r="Q4" s="97" t="s">
        <v>65</v>
      </c>
      <c r="R4" s="98" t="s">
        <v>64</v>
      </c>
    </row>
    <row r="5" spans="1:18" ht="92.25" customHeight="1">
      <c r="A5" s="178"/>
      <c r="B5" s="179"/>
      <c r="C5" s="180"/>
      <c r="D5" s="181"/>
      <c r="E5" s="188"/>
      <c r="F5" s="170"/>
      <c r="G5" s="164"/>
      <c r="H5" s="172"/>
      <c r="I5" s="164"/>
      <c r="J5" s="172"/>
      <c r="K5" s="166" t="s">
        <v>121</v>
      </c>
      <c r="L5" s="167"/>
      <c r="M5" s="172"/>
      <c r="N5" s="174"/>
      <c r="O5" s="164"/>
      <c r="P5" s="165"/>
      <c r="Q5" s="166" t="s">
        <v>126</v>
      </c>
      <c r="R5" s="16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69</v>
      </c>
      <c r="M6" s="10" t="s">
        <v>70</v>
      </c>
      <c r="N6" s="10" t="s">
        <v>71</v>
      </c>
      <c r="O6" s="10" t="s">
        <v>72</v>
      </c>
      <c r="P6" s="10" t="s">
        <v>73</v>
      </c>
      <c r="Q6" s="10" t="s">
        <v>74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105313.43</v>
      </c>
      <c r="F8" s="15">
        <f>F9+F15+F18+F19+F20+F32+F17+F42</f>
        <v>62418.240000000005</v>
      </c>
      <c r="G8" s="15">
        <f aca="true" t="shared" si="0" ref="G8:G21">F8-E8</f>
        <v>-42895.18999999999</v>
      </c>
      <c r="H8" s="38">
        <f>F8/E8*100</f>
        <v>59.26902200412617</v>
      </c>
      <c r="I8" s="28">
        <f>F8-D8</f>
        <v>-94582.70999999998</v>
      </c>
      <c r="J8" s="28">
        <f>F8/D8*100</f>
        <v>39.756600198916004</v>
      </c>
      <c r="K8" s="15">
        <f>K9+K15+K18+K19+K20+K32</f>
        <v>24702.899999999998</v>
      </c>
      <c r="L8" s="15"/>
      <c r="M8" s="15">
        <f>M9+M15+M18+M19+M20+M32+M17</f>
        <v>52736.20999999999</v>
      </c>
      <c r="N8" s="15">
        <f>N9+N15+N18+N19+N20+N32+N17</f>
        <v>1836.5800000000004</v>
      </c>
      <c r="O8" s="15">
        <f>N8-M8</f>
        <v>-50899.62999999999</v>
      </c>
      <c r="P8" s="15">
        <f>N8/M8*100</f>
        <v>3.482578668432943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83</v>
      </c>
      <c r="C9" s="48">
        <v>11010000</v>
      </c>
      <c r="D9" s="33">
        <v>80394.55</v>
      </c>
      <c r="E9" s="33">
        <v>52103.03</v>
      </c>
      <c r="F9" s="117">
        <v>31144.48</v>
      </c>
      <c r="G9" s="36">
        <f t="shared" si="0"/>
        <v>-20958.55</v>
      </c>
      <c r="H9" s="32">
        <f>F9/E9*100</f>
        <v>59.77479620666975</v>
      </c>
      <c r="I9" s="42">
        <f>F9-D9</f>
        <v>-49250.07000000001</v>
      </c>
      <c r="J9" s="42">
        <f>F9/D9*100</f>
        <v>38.73954142413882</v>
      </c>
      <c r="K9" s="106">
        <f>F9-23209.38</f>
        <v>7935.0999999999985</v>
      </c>
      <c r="L9" s="106">
        <f>F9/23209.38*100</f>
        <v>134.18919419648435</v>
      </c>
      <c r="M9" s="32">
        <f>E9-січень!E9</f>
        <v>24761.51</v>
      </c>
      <c r="N9" s="32">
        <f>F9-січень!F9</f>
        <v>931.2099999999991</v>
      </c>
      <c r="O9" s="40">
        <f>N9-M9</f>
        <v>-23830.3</v>
      </c>
      <c r="P9" s="42">
        <f>N9/M9*100</f>
        <v>3.760715723717977</v>
      </c>
      <c r="Q9" s="106">
        <f>N9-26568.11</f>
        <v>-25636.9</v>
      </c>
      <c r="R9" s="107">
        <f>N9/26568.11</f>
        <v>0.035049915104988616</v>
      </c>
    </row>
    <row r="10" spans="1:18" s="6" customFormat="1" ht="15" hidden="1">
      <c r="A10" s="8"/>
      <c r="B10" s="136" t="s">
        <v>94</v>
      </c>
      <c r="C10" s="108">
        <v>11010100</v>
      </c>
      <c r="D10" s="109">
        <v>72484.55</v>
      </c>
      <c r="E10" s="109">
        <v>46923.03</v>
      </c>
      <c r="F10" s="118">
        <v>27734.28</v>
      </c>
      <c r="G10" s="109">
        <f t="shared" si="0"/>
        <v>-19188.75</v>
      </c>
      <c r="H10" s="111">
        <f aca="true" t="shared" si="1" ref="H10:H32">F10/E10*100</f>
        <v>59.10590172885255</v>
      </c>
      <c r="I10" s="110">
        <f aca="true" t="shared" si="2" ref="I10:I32">F10-D10</f>
        <v>-44750.270000000004</v>
      </c>
      <c r="J10" s="110">
        <f aca="true" t="shared" si="3" ref="J10:J32">F10/D10*100</f>
        <v>38.26233314547721</v>
      </c>
      <c r="K10" s="112">
        <f>F10-310040.1/75*60</f>
        <v>-220297.79999999996</v>
      </c>
      <c r="L10" s="112">
        <f>F10/(310040.1/75*60)*100</f>
        <v>11.18173100834376</v>
      </c>
      <c r="M10" s="111">
        <f>E10-січень!E10</f>
        <v>22561.51</v>
      </c>
      <c r="N10" s="111">
        <f>F10-січень!F10</f>
        <v>850.4399999999987</v>
      </c>
      <c r="O10" s="112">
        <f aca="true" t="shared" si="4" ref="O10:O32">N10-M10</f>
        <v>-21711.07</v>
      </c>
      <c r="P10" s="110">
        <f aca="true" t="shared" si="5" ref="P10:P32">N10/M10*100</f>
        <v>3.769428553319342</v>
      </c>
      <c r="Q10" s="42"/>
      <c r="R10" s="100"/>
    </row>
    <row r="11" spans="1:18" s="6" customFormat="1" ht="15" hidden="1">
      <c r="A11" s="8"/>
      <c r="B11" s="136" t="s">
        <v>90</v>
      </c>
      <c r="C11" s="108">
        <v>11010200</v>
      </c>
      <c r="D11" s="109">
        <v>4200</v>
      </c>
      <c r="E11" s="109">
        <v>2700</v>
      </c>
      <c r="F11" s="118">
        <v>2684.94</v>
      </c>
      <c r="G11" s="109">
        <f t="shared" si="0"/>
        <v>-15.059999999999945</v>
      </c>
      <c r="H11" s="111">
        <f t="shared" si="1"/>
        <v>99.44222222222223</v>
      </c>
      <c r="I11" s="110">
        <f t="shared" si="2"/>
        <v>-1515.06</v>
      </c>
      <c r="J11" s="110">
        <f t="shared" si="3"/>
        <v>63.92714285714286</v>
      </c>
      <c r="K11" s="112">
        <f>F11-24192.03/75*60</f>
        <v>-16668.683999999997</v>
      </c>
      <c r="L11" s="112">
        <f>F11/(24192.03/75*60)*100</f>
        <v>13.87306067328786</v>
      </c>
      <c r="M11" s="111">
        <f>E11-січень!E11</f>
        <v>1200</v>
      </c>
      <c r="N11" s="111">
        <f>F11-січень!F11</f>
        <v>0</v>
      </c>
      <c r="O11" s="112">
        <f t="shared" si="4"/>
        <v>-1200</v>
      </c>
      <c r="P11" s="110">
        <f t="shared" si="5"/>
        <v>0</v>
      </c>
      <c r="Q11" s="42"/>
      <c r="R11" s="100"/>
    </row>
    <row r="12" spans="1:18" s="6" customFormat="1" ht="15" hidden="1">
      <c r="A12" s="8"/>
      <c r="B12" s="136" t="s">
        <v>93</v>
      </c>
      <c r="C12" s="108">
        <v>11010400</v>
      </c>
      <c r="D12" s="109">
        <v>1220</v>
      </c>
      <c r="E12" s="109">
        <v>820</v>
      </c>
      <c r="F12" s="118">
        <v>441.67</v>
      </c>
      <c r="G12" s="109">
        <f t="shared" si="0"/>
        <v>-378.33</v>
      </c>
      <c r="H12" s="111">
        <f t="shared" si="1"/>
        <v>53.86219512195122</v>
      </c>
      <c r="I12" s="110">
        <f t="shared" si="2"/>
        <v>-778.3299999999999</v>
      </c>
      <c r="J12" s="110">
        <f t="shared" si="3"/>
        <v>36.20245901639345</v>
      </c>
      <c r="K12" s="112">
        <f>F12-6123.95/75*60</f>
        <v>-4457.49</v>
      </c>
      <c r="L12" s="112">
        <f>F12/(6123.95*60)*100</f>
        <v>0.12020291913987977</v>
      </c>
      <c r="M12" s="111">
        <f>E12-січень!E12</f>
        <v>170</v>
      </c>
      <c r="N12" s="111">
        <f>F12-січень!F12</f>
        <v>8.060000000000002</v>
      </c>
      <c r="O12" s="112">
        <f t="shared" si="4"/>
        <v>-161.94</v>
      </c>
      <c r="P12" s="110">
        <f t="shared" si="5"/>
        <v>4.741176470588237</v>
      </c>
      <c r="Q12" s="42"/>
      <c r="R12" s="100"/>
    </row>
    <row r="13" spans="1:18" s="6" customFormat="1" ht="15" hidden="1">
      <c r="A13" s="8"/>
      <c r="B13" s="136" t="s">
        <v>91</v>
      </c>
      <c r="C13" s="108">
        <v>11010500</v>
      </c>
      <c r="D13" s="109">
        <v>690</v>
      </c>
      <c r="E13" s="109">
        <v>460</v>
      </c>
      <c r="F13" s="118">
        <v>282.55</v>
      </c>
      <c r="G13" s="109">
        <f t="shared" si="0"/>
        <v>-177.45</v>
      </c>
      <c r="H13" s="111">
        <f t="shared" si="1"/>
        <v>61.423913043478265</v>
      </c>
      <c r="I13" s="110">
        <f t="shared" si="2"/>
        <v>-407.45</v>
      </c>
      <c r="J13" s="110">
        <f t="shared" si="3"/>
        <v>40.94927536231884</v>
      </c>
      <c r="K13" s="112">
        <f>F13-8694.58/75*60</f>
        <v>-6673.114</v>
      </c>
      <c r="L13" s="112">
        <f>F13/(8694.58/75*60)*100</f>
        <v>4.062157113972153</v>
      </c>
      <c r="M13" s="111">
        <f>E13-січень!E13</f>
        <v>230</v>
      </c>
      <c r="N13" s="111">
        <f>F13-січень!F13</f>
        <v>72.71000000000001</v>
      </c>
      <c r="O13" s="112">
        <f t="shared" si="4"/>
        <v>-157.29</v>
      </c>
      <c r="P13" s="110">
        <f t="shared" si="5"/>
        <v>31.61304347826087</v>
      </c>
      <c r="Q13" s="42"/>
      <c r="R13" s="100"/>
    </row>
    <row r="14" spans="1:18" s="6" customFormat="1" ht="15" hidden="1">
      <c r="A14" s="8"/>
      <c r="B14" s="136" t="s">
        <v>92</v>
      </c>
      <c r="C14" s="108">
        <v>11010900</v>
      </c>
      <c r="D14" s="109">
        <v>1800</v>
      </c>
      <c r="E14" s="109">
        <v>1200</v>
      </c>
      <c r="F14" s="118">
        <v>1.04</v>
      </c>
      <c r="G14" s="109">
        <f t="shared" si="0"/>
        <v>-1198.96</v>
      </c>
      <c r="H14" s="111">
        <f t="shared" si="1"/>
        <v>0.08666666666666667</v>
      </c>
      <c r="I14" s="110">
        <f t="shared" si="2"/>
        <v>-1798.96</v>
      </c>
      <c r="J14" s="110">
        <f t="shared" si="3"/>
        <v>0.057777777777777775</v>
      </c>
      <c r="K14" s="112">
        <f>F14-146.72/75*60</f>
        <v>-116.33599999999998</v>
      </c>
      <c r="L14" s="112">
        <f>F14/(146.72/75*60)*100</f>
        <v>0.886041439476554</v>
      </c>
      <c r="M14" s="111">
        <f>E14-січень!E14</f>
        <v>600</v>
      </c>
      <c r="N14" s="111">
        <f>F14-січень!F14</f>
        <v>0</v>
      </c>
      <c r="O14" s="112">
        <f t="shared" si="4"/>
        <v>-600</v>
      </c>
      <c r="P14" s="110">
        <f t="shared" si="5"/>
        <v>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100</v>
      </c>
      <c r="F15" s="117">
        <v>0</v>
      </c>
      <c r="G15" s="36">
        <f t="shared" si="0"/>
        <v>-100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>E15-січень!E15</f>
        <v>100</v>
      </c>
      <c r="N15" s="32">
        <f>F15-січень!F15</f>
        <v>0</v>
      </c>
      <c r="O15" s="40">
        <f t="shared" si="4"/>
        <v>-100</v>
      </c>
      <c r="P15" s="42"/>
      <c r="Q15" s="42">
        <f>N15-358.81</f>
        <v>-358.81</v>
      </c>
      <c r="R15" s="100">
        <f>N15/358.81</f>
        <v>0</v>
      </c>
    </row>
    <row r="16" spans="1:18" s="6" customFormat="1" ht="15" hidden="1">
      <c r="A16" s="8"/>
      <c r="B16" s="55" t="s">
        <v>68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32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89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>E17-січень!E17</f>
        <v>0</v>
      </c>
      <c r="N17" s="32">
        <f>F17-січень!F17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76</v>
      </c>
      <c r="C18" s="48">
        <v>13030200</v>
      </c>
      <c r="D18" s="33">
        <v>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>E18-січень!E18</f>
        <v>0</v>
      </c>
      <c r="N18" s="32">
        <f>F18-січень!F18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75</v>
      </c>
      <c r="C19" s="48">
        <v>14040000</v>
      </c>
      <c r="D19" s="36">
        <v>21100</v>
      </c>
      <c r="E19" s="36">
        <v>14200</v>
      </c>
      <c r="F19" s="125">
        <v>5562.01</v>
      </c>
      <c r="G19" s="36">
        <f t="shared" si="0"/>
        <v>-8637.99</v>
      </c>
      <c r="H19" s="32">
        <f t="shared" si="1"/>
        <v>39.16908450704226</v>
      </c>
      <c r="I19" s="42">
        <f t="shared" si="2"/>
        <v>-15537.99</v>
      </c>
      <c r="J19" s="42">
        <f t="shared" si="3"/>
        <v>26.360236966824647</v>
      </c>
      <c r="K19" s="133">
        <f>F19-0</f>
        <v>5562.01</v>
      </c>
      <c r="L19" s="134"/>
      <c r="M19" s="32">
        <f>E19-січень!E19</f>
        <v>7200</v>
      </c>
      <c r="N19" s="32">
        <f>F19-січень!F19</f>
        <v>1.610000000000582</v>
      </c>
      <c r="O19" s="40">
        <f t="shared" si="4"/>
        <v>-7198.389999999999</v>
      </c>
      <c r="P19" s="42">
        <f t="shared" si="5"/>
        <v>0.022361111111119197</v>
      </c>
      <c r="Q19" s="113"/>
      <c r="R19" s="114"/>
    </row>
    <row r="20" spans="1:18" s="6" customFormat="1" ht="15">
      <c r="A20" s="8"/>
      <c r="B20" s="130" t="s">
        <v>77</v>
      </c>
      <c r="C20" s="48">
        <v>18000000</v>
      </c>
      <c r="D20" s="36">
        <f>D21+D25+D27</f>
        <v>53373.5</v>
      </c>
      <c r="E20" s="36">
        <f>E21+E25+E27</f>
        <v>36879</v>
      </c>
      <c r="F20" s="126">
        <f>F21+F25+F27+F26</f>
        <v>25700.670000000002</v>
      </c>
      <c r="G20" s="36">
        <f t="shared" si="0"/>
        <v>-11178.329999999998</v>
      </c>
      <c r="H20" s="32">
        <f t="shared" si="1"/>
        <v>69.68917269991053</v>
      </c>
      <c r="I20" s="42">
        <f t="shared" si="2"/>
        <v>-27672.829999999998</v>
      </c>
      <c r="J20" s="42">
        <f t="shared" si="3"/>
        <v>48.15249140491068</v>
      </c>
      <c r="K20" s="132">
        <f>K21+K25+K26+K27</f>
        <v>10638.41</v>
      </c>
      <c r="L20" s="110">
        <f>F20/15062.3*100</f>
        <v>170.62912038666076</v>
      </c>
      <c r="M20" s="32">
        <f>E20-січень!E20</f>
        <v>18644.5</v>
      </c>
      <c r="N20" s="32">
        <f>F20-січень!F20</f>
        <v>903.6100000000006</v>
      </c>
      <c r="O20" s="40">
        <f t="shared" si="4"/>
        <v>-17740.89</v>
      </c>
      <c r="P20" s="42">
        <f t="shared" si="5"/>
        <v>4.846523103328063</v>
      </c>
      <c r="Q20" s="113"/>
      <c r="R20" s="114"/>
    </row>
    <row r="21" spans="1:18" s="6" customFormat="1" ht="15">
      <c r="A21" s="8"/>
      <c r="B21" s="49" t="s">
        <v>85</v>
      </c>
      <c r="C21" s="127">
        <v>18010000</v>
      </c>
      <c r="D21" s="36">
        <f>D22+D23+D24</f>
        <v>32530</v>
      </c>
      <c r="E21" s="36">
        <f>E22+E23+E24</f>
        <v>19850</v>
      </c>
      <c r="F21" s="126">
        <f>F22+F23+F24</f>
        <v>12034.27</v>
      </c>
      <c r="G21" s="36">
        <f t="shared" si="0"/>
        <v>-7815.73</v>
      </c>
      <c r="H21" s="32">
        <f t="shared" si="1"/>
        <v>60.62604534005038</v>
      </c>
      <c r="I21" s="42">
        <f t="shared" si="2"/>
        <v>-20495.73</v>
      </c>
      <c r="J21" s="42">
        <f t="shared" si="3"/>
        <v>36.994374423608974</v>
      </c>
      <c r="K21" s="132">
        <f>K22+K23+K24</f>
        <v>5451.59</v>
      </c>
      <c r="L21" s="110">
        <f>F21/6582.7*100</f>
        <v>182.81662539687363</v>
      </c>
      <c r="M21" s="32">
        <f>E21-січень!E21</f>
        <v>10130</v>
      </c>
      <c r="N21" s="32">
        <f>F21-січень!F21</f>
        <v>134.97000000000116</v>
      </c>
      <c r="O21" s="40">
        <f t="shared" si="4"/>
        <v>-9995.029999999999</v>
      </c>
      <c r="P21" s="42">
        <f t="shared" si="5"/>
        <v>1.33237907206319</v>
      </c>
      <c r="Q21" s="113"/>
      <c r="R21" s="114"/>
    </row>
    <row r="22" spans="1:18" s="6" customFormat="1" ht="15">
      <c r="A22" s="8"/>
      <c r="B22" s="55" t="s">
        <v>78</v>
      </c>
      <c r="C22" s="138"/>
      <c r="D22" s="109">
        <f>320+378+2002+600</f>
        <v>3300</v>
      </c>
      <c r="E22" s="109">
        <v>500</v>
      </c>
      <c r="F22" s="118">
        <v>3082.32</v>
      </c>
      <c r="G22" s="109">
        <f>F22-E22</f>
        <v>2582.32</v>
      </c>
      <c r="H22" s="111">
        <f t="shared" si="1"/>
        <v>616.464</v>
      </c>
      <c r="I22" s="110">
        <f t="shared" si="2"/>
        <v>-217.67999999999984</v>
      </c>
      <c r="J22" s="110">
        <f t="shared" si="3"/>
        <v>93.40363636363637</v>
      </c>
      <c r="K22" s="110">
        <f>F22-84.67</f>
        <v>2997.65</v>
      </c>
      <c r="L22" s="110">
        <f>F22/84.67*100</f>
        <v>3640.3921105468294</v>
      </c>
      <c r="M22" s="111">
        <f>E22-січень!E22</f>
        <v>250</v>
      </c>
      <c r="N22" s="111">
        <f>F22-січень!F22</f>
        <v>32.720000000000255</v>
      </c>
      <c r="O22" s="112">
        <f t="shared" si="4"/>
        <v>-217.27999999999975</v>
      </c>
      <c r="P22" s="110">
        <f t="shared" si="5"/>
        <v>13.088000000000102</v>
      </c>
      <c r="Q22" s="113"/>
      <c r="R22" s="114"/>
    </row>
    <row r="23" spans="1:18" s="6" customFormat="1" ht="15">
      <c r="A23" s="8"/>
      <c r="B23" s="55" t="s">
        <v>79</v>
      </c>
      <c r="C23" s="138"/>
      <c r="D23" s="109">
        <f>30+30</f>
        <v>60</v>
      </c>
      <c r="E23" s="109">
        <v>40</v>
      </c>
      <c r="F23" s="118">
        <v>172.13</v>
      </c>
      <c r="G23" s="109">
        <f>F23-E23</f>
        <v>132.13</v>
      </c>
      <c r="H23" s="111">
        <f t="shared" si="1"/>
        <v>430.32500000000005</v>
      </c>
      <c r="I23" s="110">
        <f t="shared" si="2"/>
        <v>112.13</v>
      </c>
      <c r="J23" s="110">
        <f t="shared" si="3"/>
        <v>286.8833333333333</v>
      </c>
      <c r="K23" s="110">
        <f>F23-0</f>
        <v>172.13</v>
      </c>
      <c r="L23" s="110"/>
      <c r="M23" s="111">
        <f>E23-січень!E23</f>
        <v>20</v>
      </c>
      <c r="N23" s="111">
        <f>F23-січень!F23</f>
        <v>15.259999999999991</v>
      </c>
      <c r="O23" s="112">
        <f t="shared" si="4"/>
        <v>-4.740000000000009</v>
      </c>
      <c r="P23" s="110">
        <f t="shared" si="5"/>
        <v>76.29999999999995</v>
      </c>
      <c r="Q23" s="113"/>
      <c r="R23" s="114"/>
    </row>
    <row r="24" spans="1:18" s="6" customFormat="1" ht="15">
      <c r="A24" s="8"/>
      <c r="B24" s="55" t="s">
        <v>80</v>
      </c>
      <c r="C24" s="138"/>
      <c r="D24" s="109">
        <f>7700+17200+170+4100</f>
        <v>29170</v>
      </c>
      <c r="E24" s="109">
        <v>19310</v>
      </c>
      <c r="F24" s="118">
        <v>8779.82</v>
      </c>
      <c r="G24" s="109">
        <f>F24-E24</f>
        <v>-10530.18</v>
      </c>
      <c r="H24" s="111">
        <f t="shared" si="1"/>
        <v>45.467736923873645</v>
      </c>
      <c r="I24" s="110">
        <f t="shared" si="2"/>
        <v>-20390.18</v>
      </c>
      <c r="J24" s="110">
        <f t="shared" si="3"/>
        <v>30.098800137127185</v>
      </c>
      <c r="K24" s="142">
        <f>F24-6498.01</f>
        <v>2281.8099999999995</v>
      </c>
      <c r="L24" s="142">
        <f>F24/6498.01*100</f>
        <v>135.11551998227148</v>
      </c>
      <c r="M24" s="111">
        <f>E24-січень!E24</f>
        <v>9860</v>
      </c>
      <c r="N24" s="111">
        <f>F24-січень!F24</f>
        <v>86.98999999999978</v>
      </c>
      <c r="O24" s="112">
        <f t="shared" si="4"/>
        <v>-9773.01</v>
      </c>
      <c r="P24" s="110">
        <f t="shared" si="5"/>
        <v>0.8822515212981722</v>
      </c>
      <c r="Q24" s="113"/>
      <c r="R24" s="114"/>
    </row>
    <row r="25" spans="1:18" s="6" customFormat="1" ht="15">
      <c r="A25" s="8"/>
      <c r="B25" s="49" t="s">
        <v>86</v>
      </c>
      <c r="C25" s="127">
        <v>18030000</v>
      </c>
      <c r="D25" s="36">
        <v>36</v>
      </c>
      <c r="E25" s="36">
        <v>24</v>
      </c>
      <c r="F25" s="125">
        <v>2.61</v>
      </c>
      <c r="G25" s="36">
        <f>F25-E25</f>
        <v>-21.39</v>
      </c>
      <c r="H25" s="32">
        <f t="shared" si="1"/>
        <v>10.875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>E25-січень!E25</f>
        <v>12</v>
      </c>
      <c r="N25" s="32">
        <f>F25-січень!F25</f>
        <v>0</v>
      </c>
      <c r="O25" s="40">
        <f t="shared" si="4"/>
        <v>-12</v>
      </c>
      <c r="P25" s="42">
        <f t="shared" si="5"/>
        <v>0</v>
      </c>
      <c r="Q25" s="113"/>
      <c r="R25" s="114"/>
    </row>
    <row r="26" spans="1:18" s="6" customFormat="1" ht="49.5" customHeight="1">
      <c r="A26" s="8"/>
      <c r="B26" s="49" t="s">
        <v>87</v>
      </c>
      <c r="C26" s="127">
        <v>18040000</v>
      </c>
      <c r="D26" s="36"/>
      <c r="E26" s="36"/>
      <c r="F26" s="125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>E26-січень!E26</f>
        <v>0</v>
      </c>
      <c r="N26" s="32">
        <f>F26-січень!F26</f>
        <v>0</v>
      </c>
      <c r="O26" s="40">
        <f t="shared" si="4"/>
        <v>0</v>
      </c>
      <c r="P26" s="42"/>
      <c r="Q26" s="113"/>
      <c r="R26" s="114"/>
    </row>
    <row r="27" spans="1:18" s="6" customFormat="1" ht="15">
      <c r="A27" s="8"/>
      <c r="B27" s="49" t="s">
        <v>88</v>
      </c>
      <c r="C27" s="127">
        <v>18050000</v>
      </c>
      <c r="D27" s="36">
        <v>20807.5</v>
      </c>
      <c r="E27" s="36">
        <v>17005</v>
      </c>
      <c r="F27" s="125">
        <v>13664.14</v>
      </c>
      <c r="G27" s="36">
        <f t="shared" si="6"/>
        <v>-3340.8600000000006</v>
      </c>
      <c r="H27" s="32">
        <f t="shared" si="1"/>
        <v>80.35366068803292</v>
      </c>
      <c r="I27" s="42">
        <f t="shared" si="2"/>
        <v>-7143.360000000001</v>
      </c>
      <c r="J27" s="42">
        <f t="shared" si="3"/>
        <v>65.66930193439865</v>
      </c>
      <c r="K27" s="106">
        <f>F27-8334.48</f>
        <v>5329.66</v>
      </c>
      <c r="L27" s="106">
        <f>F27/8334.48*100</f>
        <v>163.94712087616745</v>
      </c>
      <c r="M27" s="32">
        <f>E27-січень!E27</f>
        <v>8502.5</v>
      </c>
      <c r="N27" s="32">
        <f>F27-січень!F27</f>
        <v>768.6399999999994</v>
      </c>
      <c r="O27" s="40">
        <f t="shared" si="4"/>
        <v>-7733.860000000001</v>
      </c>
      <c r="P27" s="42">
        <f t="shared" si="5"/>
        <v>9.040164657453683</v>
      </c>
      <c r="Q27" s="113"/>
      <c r="R27" s="114"/>
    </row>
    <row r="28" spans="1:18" s="6" customFormat="1" ht="15" hidden="1">
      <c r="A28" s="8"/>
      <c r="B28" s="55" t="s">
        <v>95</v>
      </c>
      <c r="C28" s="108">
        <v>18050200</v>
      </c>
      <c r="D28" s="109">
        <v>0</v>
      </c>
      <c r="E28" s="109">
        <v>0</v>
      </c>
      <c r="F28" s="118">
        <v>0</v>
      </c>
      <c r="G28" s="36">
        <f t="shared" si="6"/>
        <v>0</v>
      </c>
      <c r="H28" s="32" t="e">
        <f t="shared" si="1"/>
        <v>#DIV/0!</v>
      </c>
      <c r="I28" s="42">
        <f t="shared" si="2"/>
        <v>0</v>
      </c>
      <c r="J28" s="42" t="e">
        <f t="shared" si="3"/>
        <v>#DIV/0!</v>
      </c>
      <c r="K28" s="113">
        <f>F28-1.21</f>
        <v>-1.21</v>
      </c>
      <c r="L28" s="113">
        <f>F28/1.21*100</f>
        <v>0</v>
      </c>
      <c r="M28" s="111">
        <f>E28-січень!E28</f>
        <v>0</v>
      </c>
      <c r="N28" s="111">
        <f>F28-січень!F28</f>
        <v>0</v>
      </c>
      <c r="O28" s="112">
        <f t="shared" si="4"/>
        <v>0</v>
      </c>
      <c r="P28" s="110" t="e">
        <f t="shared" si="5"/>
        <v>#DIV/0!</v>
      </c>
      <c r="Q28" s="113"/>
      <c r="R28" s="114"/>
    </row>
    <row r="29" spans="1:18" s="6" customFormat="1" ht="15" hidden="1">
      <c r="A29" s="8"/>
      <c r="B29" s="55" t="s">
        <v>96</v>
      </c>
      <c r="C29" s="108">
        <v>18050300</v>
      </c>
      <c r="D29" s="109">
        <v>5800</v>
      </c>
      <c r="E29" s="109">
        <v>5000</v>
      </c>
      <c r="F29" s="118">
        <v>2288.95</v>
      </c>
      <c r="G29" s="36">
        <f t="shared" si="6"/>
        <v>-2711.05</v>
      </c>
      <c r="H29" s="32">
        <f t="shared" si="1"/>
        <v>45.778999999999996</v>
      </c>
      <c r="I29" s="42">
        <f t="shared" si="2"/>
        <v>-3511.05</v>
      </c>
      <c r="J29" s="42">
        <f t="shared" si="3"/>
        <v>39.464655172413785</v>
      </c>
      <c r="K29" s="113">
        <f>F29-22211.27</f>
        <v>-19922.32</v>
      </c>
      <c r="L29" s="113">
        <f>F29/22211.27*100</f>
        <v>10.305353993715801</v>
      </c>
      <c r="M29" s="111">
        <f>E29-січень!E29</f>
        <v>2500</v>
      </c>
      <c r="N29" s="111">
        <f>F29-січень!F29</f>
        <v>132.98000000000002</v>
      </c>
      <c r="O29" s="112">
        <f t="shared" si="4"/>
        <v>-2367.02</v>
      </c>
      <c r="P29" s="110">
        <f t="shared" si="5"/>
        <v>5.319200000000001</v>
      </c>
      <c r="Q29" s="113"/>
      <c r="R29" s="114"/>
    </row>
    <row r="30" spans="1:18" s="6" customFormat="1" ht="15" hidden="1">
      <c r="A30" s="8"/>
      <c r="B30" s="55" t="s">
        <v>97</v>
      </c>
      <c r="C30" s="108">
        <v>18050400</v>
      </c>
      <c r="D30" s="109">
        <v>15000</v>
      </c>
      <c r="E30" s="109">
        <v>12000</v>
      </c>
      <c r="F30" s="118">
        <v>11372</v>
      </c>
      <c r="G30" s="36">
        <f t="shared" si="6"/>
        <v>-628</v>
      </c>
      <c r="H30" s="32">
        <f t="shared" si="1"/>
        <v>94.76666666666667</v>
      </c>
      <c r="I30" s="42">
        <f t="shared" si="2"/>
        <v>-3628</v>
      </c>
      <c r="J30" s="42">
        <f t="shared" si="3"/>
        <v>75.81333333333333</v>
      </c>
      <c r="K30" s="113">
        <f>F30-57105.32</f>
        <v>-45733.32</v>
      </c>
      <c r="L30" s="113">
        <f>F30/57105.32*100</f>
        <v>19.91408156017688</v>
      </c>
      <c r="M30" s="111">
        <f>E30-січень!E30</f>
        <v>6000</v>
      </c>
      <c r="N30" s="111">
        <f>F30-січень!F30</f>
        <v>635.6599999999999</v>
      </c>
      <c r="O30" s="112">
        <f t="shared" si="4"/>
        <v>-5364.34</v>
      </c>
      <c r="P30" s="110">
        <f t="shared" si="5"/>
        <v>10.594333333333331</v>
      </c>
      <c r="Q30" s="113"/>
      <c r="R30" s="114"/>
    </row>
    <row r="31" spans="1:18" s="6" customFormat="1" ht="15" hidden="1">
      <c r="A31" s="8"/>
      <c r="B31" s="55" t="s">
        <v>98</v>
      </c>
      <c r="C31" s="108">
        <v>18050500</v>
      </c>
      <c r="D31" s="109">
        <v>7.5</v>
      </c>
      <c r="E31" s="109">
        <v>5</v>
      </c>
      <c r="F31" s="118">
        <v>3.19</v>
      </c>
      <c r="G31" s="36">
        <f t="shared" si="6"/>
        <v>-1.81</v>
      </c>
      <c r="H31" s="32">
        <f t="shared" si="1"/>
        <v>63.800000000000004</v>
      </c>
      <c r="I31" s="42">
        <f t="shared" si="2"/>
        <v>-4.3100000000000005</v>
      </c>
      <c r="J31" s="42">
        <f t="shared" si="3"/>
        <v>42.53333333333333</v>
      </c>
      <c r="K31" s="113">
        <f>F31-0</f>
        <v>3.19</v>
      </c>
      <c r="L31" s="113"/>
      <c r="M31" s="32">
        <f>E31-січень!E31</f>
        <v>2.5</v>
      </c>
      <c r="N31" s="111">
        <f>F31-січень!F31</f>
        <v>0</v>
      </c>
      <c r="O31" s="112">
        <f t="shared" si="4"/>
        <v>-2.5</v>
      </c>
      <c r="P31" s="110">
        <f t="shared" si="5"/>
        <v>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2031.4</v>
      </c>
      <c r="F32" s="125">
        <v>10.05</v>
      </c>
      <c r="G32" s="36">
        <f t="shared" si="6"/>
        <v>-2021.3500000000001</v>
      </c>
      <c r="H32" s="32">
        <f t="shared" si="1"/>
        <v>0.49473269666240033</v>
      </c>
      <c r="I32" s="42">
        <f t="shared" si="2"/>
        <v>-2022.8500000000001</v>
      </c>
      <c r="J32" s="42">
        <f t="shared" si="3"/>
        <v>0.49436765212258355</v>
      </c>
      <c r="K32" s="132">
        <f>F32-8.89</f>
        <v>1.1600000000000001</v>
      </c>
      <c r="L32" s="132">
        <f>F32/8.89*100</f>
        <v>113.04836895388077</v>
      </c>
      <c r="M32" s="32">
        <f>E32-січень!E32</f>
        <v>2030.2</v>
      </c>
      <c r="N32" s="32">
        <f>F32-січень!F32</f>
        <v>0.15000000000000036</v>
      </c>
      <c r="O32" s="40">
        <f t="shared" si="4"/>
        <v>-2030.05</v>
      </c>
      <c r="P32" s="42">
        <f t="shared" si="5"/>
        <v>0.007388434636981595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</f>
        <v>6959.3</v>
      </c>
      <c r="E33" s="15">
        <f>E34+E35+E36+E37+E38+E44+E45+E50+E51+E55+E41+E39+E54</f>
        <v>4642.2</v>
      </c>
      <c r="F33" s="15">
        <f>F34+F35+F36+F37+F38+F44+F45+F50+F51+F55+F41+F39+F54</f>
        <v>2521.5</v>
      </c>
      <c r="G33" s="37">
        <f>F33-E33</f>
        <v>-2120.7</v>
      </c>
      <c r="H33" s="38">
        <f>F33/E33*100</f>
        <v>54.316918702339414</v>
      </c>
      <c r="I33" s="28">
        <f>F33-D33</f>
        <v>-4437.8</v>
      </c>
      <c r="J33" s="28">
        <f>F33/D33*100</f>
        <v>36.23209230813444</v>
      </c>
      <c r="K33" s="15">
        <f>K34+K35+K36+K37+K38+K44+K45+K50+K51+K55+K41</f>
        <v>1499.12</v>
      </c>
      <c r="L33" s="15"/>
      <c r="M33" s="15">
        <f>M34+M35+M36+M37+M38+M44+M45+M50+M51+M55+M41+M39</f>
        <v>2326.1</v>
      </c>
      <c r="N33" s="15">
        <f>N34+N35+N36+N37+N38+N44+N45+N50+N51+N55+N41+N39</f>
        <v>491.56</v>
      </c>
      <c r="O33" s="15">
        <f>N33/M33*100</f>
        <v>21.132367482051503</v>
      </c>
      <c r="P33" s="15">
        <f>N33/M33*100</f>
        <v>21.132367482051503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103</v>
      </c>
      <c r="C34" s="48">
        <v>21010301</v>
      </c>
      <c r="D34" s="33">
        <v>11</v>
      </c>
      <c r="E34" s="33">
        <v>10</v>
      </c>
      <c r="F34" s="117">
        <v>4.71</v>
      </c>
      <c r="G34" s="36">
        <f>F34-E34</f>
        <v>-5.29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E34-січень!E34</f>
        <v>10</v>
      </c>
      <c r="N34" s="32">
        <f>F34-січень!F34</f>
        <v>0</v>
      </c>
      <c r="O34" s="40">
        <f>N34-M34</f>
        <v>-10</v>
      </c>
      <c r="P34" s="42"/>
      <c r="Q34" s="42">
        <f>N34-0</f>
        <v>0</v>
      </c>
      <c r="R34" s="100" t="e">
        <f>N34/0</f>
        <v>#DIV/0!</v>
      </c>
    </row>
    <row r="35" spans="1:18" s="6" customFormat="1" ht="30.75">
      <c r="A35" s="8"/>
      <c r="B35" s="144" t="s">
        <v>81</v>
      </c>
      <c r="C35" s="47">
        <v>21050000</v>
      </c>
      <c r="D35" s="33">
        <v>0</v>
      </c>
      <c r="E35" s="33">
        <v>0</v>
      </c>
      <c r="F35" s="117">
        <v>432.1</v>
      </c>
      <c r="G35" s="36">
        <f aca="true" t="shared" si="7" ref="G35:G57">F35-E35</f>
        <v>432.1</v>
      </c>
      <c r="H35" s="32"/>
      <c r="I35" s="42">
        <f aca="true" t="shared" si="8" ref="I35:I57">F35-D35</f>
        <v>432.1</v>
      </c>
      <c r="J35" s="42"/>
      <c r="K35" s="42">
        <f>F35-0</f>
        <v>432.1</v>
      </c>
      <c r="L35" s="42"/>
      <c r="M35" s="32">
        <f>E35-січень!E35</f>
        <v>0</v>
      </c>
      <c r="N35" s="32">
        <f>F35-січень!F35</f>
        <v>432.1</v>
      </c>
      <c r="O35" s="40">
        <f aca="true" t="shared" si="9" ref="O35:O57">N35-M35</f>
        <v>432.1</v>
      </c>
      <c r="P35" s="42"/>
      <c r="Q35" s="42">
        <f>N35-0</f>
        <v>432.1</v>
      </c>
      <c r="R35" s="100" t="e">
        <f>N35/0</f>
        <v>#DIV/0!</v>
      </c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4</v>
      </c>
      <c r="F36" s="117">
        <v>17.84</v>
      </c>
      <c r="G36" s="36">
        <f t="shared" si="7"/>
        <v>13.84</v>
      </c>
      <c r="H36" s="32">
        <f aca="true" t="shared" si="10" ref="H36:H56">F36/E36*100</f>
        <v>446</v>
      </c>
      <c r="I36" s="42">
        <f t="shared" si="8"/>
        <v>11.84</v>
      </c>
      <c r="J36" s="42">
        <f aca="true" t="shared" si="11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>E36-січень!E36</f>
        <v>2</v>
      </c>
      <c r="N36" s="32">
        <f>F36-січень!F36</f>
        <v>0</v>
      </c>
      <c r="O36" s="40">
        <f t="shared" si="9"/>
        <v>-2</v>
      </c>
      <c r="P36" s="42">
        <f aca="true" t="shared" si="12" ref="P36:P56">N36/M36*100</f>
        <v>0</v>
      </c>
      <c r="Q36" s="42">
        <f>N36-4.23</f>
        <v>-4.23</v>
      </c>
      <c r="R36" s="100">
        <f>N36/4.23</f>
        <v>0</v>
      </c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1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2">
        <f>E37-січень!E37</f>
        <v>0</v>
      </c>
      <c r="N37" s="32">
        <f>F37-січень!F37</f>
        <v>0</v>
      </c>
      <c r="O37" s="40">
        <f t="shared" si="9"/>
        <v>0</v>
      </c>
      <c r="P37" s="42"/>
      <c r="Q37" s="42">
        <f>N37-0</f>
        <v>0</v>
      </c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16</v>
      </c>
      <c r="F38" s="117">
        <v>-5.55</v>
      </c>
      <c r="G38" s="36">
        <f t="shared" si="7"/>
        <v>-21.55</v>
      </c>
      <c r="H38" s="32">
        <f t="shared" si="10"/>
        <v>-34.6875</v>
      </c>
      <c r="I38" s="42">
        <f t="shared" si="8"/>
        <v>-29.55</v>
      </c>
      <c r="J38" s="42">
        <f t="shared" si="11"/>
        <v>-23.125</v>
      </c>
      <c r="K38" s="42">
        <f>F38-7.6</f>
        <v>-13.149999999999999</v>
      </c>
      <c r="L38" s="42">
        <f>F38/7.6*100</f>
        <v>-73.02631578947368</v>
      </c>
      <c r="M38" s="32">
        <f>E38-січень!E38</f>
        <v>8</v>
      </c>
      <c r="N38" s="32">
        <f>F38-січень!F38</f>
        <v>0.8500000000000005</v>
      </c>
      <c r="O38" s="40">
        <f t="shared" si="9"/>
        <v>-7.1499999999999995</v>
      </c>
      <c r="P38" s="42">
        <f t="shared" si="12"/>
        <v>10.625000000000007</v>
      </c>
      <c r="Q38" s="42">
        <f>N38-9.02</f>
        <v>-8.169999999999998</v>
      </c>
      <c r="R38" s="100">
        <f>N38/9.02</f>
        <v>0.09423503325942356</v>
      </c>
    </row>
    <row r="39" spans="1:18" s="6" customFormat="1" ht="46.5" hidden="1">
      <c r="A39" s="8"/>
      <c r="B39" s="145" t="s">
        <v>84</v>
      </c>
      <c r="C39" s="54">
        <v>21081500</v>
      </c>
      <c r="D39" s="33">
        <v>0</v>
      </c>
      <c r="E39" s="33"/>
      <c r="F39" s="117">
        <v>0</v>
      </c>
      <c r="G39" s="36">
        <f t="shared" si="7"/>
        <v>0</v>
      </c>
      <c r="H39" s="32" t="e">
        <f t="shared" si="10"/>
        <v>#DIV/0!</v>
      </c>
      <c r="I39" s="42">
        <f t="shared" si="8"/>
        <v>0</v>
      </c>
      <c r="J39" s="42" t="e">
        <f t="shared" si="11"/>
        <v>#DIV/0!</v>
      </c>
      <c r="K39" s="42">
        <f>F39-0</f>
        <v>0</v>
      </c>
      <c r="L39" s="42"/>
      <c r="M39" s="32">
        <f>E39-січень!E39</f>
        <v>0</v>
      </c>
      <c r="N39" s="32">
        <f>F39-січень!F39</f>
        <v>0</v>
      </c>
      <c r="O39" s="40">
        <f t="shared" si="9"/>
        <v>0</v>
      </c>
      <c r="P39" s="42" t="e">
        <f t="shared" si="12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17"/>
      <c r="G40" s="36"/>
      <c r="H40" s="32"/>
      <c r="I40" s="42"/>
      <c r="J40" s="42"/>
      <c r="K40" s="42"/>
      <c r="L40" s="42"/>
      <c r="M40" s="32">
        <f>E40-січень!E40</f>
        <v>0</v>
      </c>
      <c r="N40" s="32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82</v>
      </c>
      <c r="C41" s="77">
        <v>22012500</v>
      </c>
      <c r="D41" s="33">
        <v>2250</v>
      </c>
      <c r="E41" s="33">
        <v>1500</v>
      </c>
      <c r="F41" s="117">
        <v>570.13</v>
      </c>
      <c r="G41" s="36">
        <f t="shared" si="7"/>
        <v>-929.87</v>
      </c>
      <c r="H41" s="32">
        <f t="shared" si="10"/>
        <v>38.00866666666667</v>
      </c>
      <c r="I41" s="42">
        <f t="shared" si="8"/>
        <v>-1679.87</v>
      </c>
      <c r="J41" s="42">
        <f t="shared" si="11"/>
        <v>25.339111111111112</v>
      </c>
      <c r="K41" s="42">
        <f>F41-0</f>
        <v>570.13</v>
      </c>
      <c r="L41" s="42"/>
      <c r="M41" s="32">
        <f>E41-січень!E41</f>
        <v>750</v>
      </c>
      <c r="N41" s="32">
        <f>F41-січень!F41</f>
        <v>31.110000000000014</v>
      </c>
      <c r="O41" s="40">
        <f t="shared" si="9"/>
        <v>-718.89</v>
      </c>
      <c r="P41" s="42">
        <f t="shared" si="12"/>
        <v>4.1480000000000015</v>
      </c>
      <c r="Q41" s="42"/>
      <c r="R41" s="100"/>
    </row>
    <row r="42" spans="1:18" s="6" customFormat="1" ht="30.75">
      <c r="A42" s="8"/>
      <c r="B42" s="35" t="s">
        <v>112</v>
      </c>
      <c r="C42" s="77">
        <v>22012600</v>
      </c>
      <c r="D42" s="33">
        <v>0</v>
      </c>
      <c r="E42" s="33">
        <v>0</v>
      </c>
      <c r="F42" s="117">
        <v>1.03</v>
      </c>
      <c r="G42" s="36">
        <f t="shared" si="7"/>
        <v>1.03</v>
      </c>
      <c r="H42" s="32"/>
      <c r="I42" s="42">
        <f t="shared" si="8"/>
        <v>1.03</v>
      </c>
      <c r="J42" s="42"/>
      <c r="K42" s="42"/>
      <c r="L42" s="42"/>
      <c r="M42" s="32">
        <f>E42-січень!E42</f>
        <v>0</v>
      </c>
      <c r="N42" s="32">
        <f>F42-січень!F42</f>
        <v>0</v>
      </c>
      <c r="O42" s="40">
        <f t="shared" si="9"/>
        <v>0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17"/>
      <c r="G43" s="36"/>
      <c r="H43" s="32"/>
      <c r="I43" s="42"/>
      <c r="J43" s="42"/>
      <c r="K43" s="42"/>
      <c r="L43" s="42"/>
      <c r="M43" s="32">
        <f>E43-січень!E43</f>
        <v>0</v>
      </c>
      <c r="N43" s="32">
        <f>F43-січень!F43</f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1400</v>
      </c>
      <c r="F44" s="117">
        <v>716.27</v>
      </c>
      <c r="G44" s="36">
        <f t="shared" si="7"/>
        <v>-683.73</v>
      </c>
      <c r="H44" s="32">
        <f t="shared" si="10"/>
        <v>51.162142857142854</v>
      </c>
      <c r="I44" s="42">
        <f t="shared" si="8"/>
        <v>-1383.73</v>
      </c>
      <c r="J44" s="42">
        <f t="shared" si="11"/>
        <v>34.10809523809524</v>
      </c>
      <c r="K44" s="42">
        <f>F44-690.7</f>
        <v>25.569999999999936</v>
      </c>
      <c r="L44" s="42">
        <f>F44/690.7*100</f>
        <v>103.70204140726797</v>
      </c>
      <c r="M44" s="32">
        <f>E44-січень!E44</f>
        <v>700</v>
      </c>
      <c r="N44" s="32">
        <f>F44-січень!F44</f>
        <v>0.03999999999996362</v>
      </c>
      <c r="O44" s="40">
        <f t="shared" si="9"/>
        <v>-699.96</v>
      </c>
      <c r="P44" s="42">
        <f t="shared" si="12"/>
        <v>0.005714285714280517</v>
      </c>
      <c r="Q44" s="42">
        <f>N44-647.49</f>
        <v>-647.45</v>
      </c>
      <c r="R44" s="100">
        <f>N44/647.49</f>
        <v>6.177701586119264E-05</v>
      </c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1012.2</v>
      </c>
      <c r="F45" s="117">
        <v>427.33</v>
      </c>
      <c r="G45" s="36">
        <f t="shared" si="7"/>
        <v>-584.8700000000001</v>
      </c>
      <c r="H45" s="32">
        <f t="shared" si="10"/>
        <v>42.21794111835605</v>
      </c>
      <c r="I45" s="42">
        <f t="shared" si="8"/>
        <v>-1090.97</v>
      </c>
      <c r="J45" s="42">
        <f t="shared" si="11"/>
        <v>28.145294078904037</v>
      </c>
      <c r="K45" s="132">
        <f>F45-59.21</f>
        <v>368.12</v>
      </c>
      <c r="L45" s="132">
        <f>F45/59.21*100</f>
        <v>721.7193041715926</v>
      </c>
      <c r="M45" s="152">
        <f>E45-січень!E45</f>
        <v>506.1</v>
      </c>
      <c r="N45" s="152">
        <f>F45-січень!F45</f>
        <v>19.129999999999995</v>
      </c>
      <c r="O45" s="40">
        <f t="shared" si="9"/>
        <v>-486.97</v>
      </c>
      <c r="P45" s="132">
        <f t="shared" si="12"/>
        <v>3.7798853981426586</v>
      </c>
      <c r="Q45" s="42">
        <f>N45-79.51</f>
        <v>-60.38000000000001</v>
      </c>
      <c r="R45" s="100">
        <f>N45/79.51</f>
        <v>0.24059866683436038</v>
      </c>
    </row>
    <row r="46" spans="1:18" s="6" customFormat="1" ht="15" hidden="1">
      <c r="A46" s="8"/>
      <c r="B46" s="55" t="s">
        <v>102</v>
      </c>
      <c r="C46" s="138">
        <v>22090100</v>
      </c>
      <c r="D46" s="109">
        <v>165</v>
      </c>
      <c r="E46" s="109">
        <v>110</v>
      </c>
      <c r="F46" s="118">
        <v>27.15</v>
      </c>
      <c r="G46" s="36">
        <f t="shared" si="7"/>
        <v>-82.85</v>
      </c>
      <c r="H46" s="111">
        <f t="shared" si="10"/>
        <v>24.68181818181818</v>
      </c>
      <c r="I46" s="110">
        <f t="shared" si="8"/>
        <v>-137.85</v>
      </c>
      <c r="J46" s="110">
        <f t="shared" si="11"/>
        <v>16.454545454545453</v>
      </c>
      <c r="K46" s="110">
        <f>F46-857.86</f>
        <v>-830.71</v>
      </c>
      <c r="L46" s="110">
        <f>F46/857.86*100</f>
        <v>3.1648520737649495</v>
      </c>
      <c r="M46" s="111">
        <f>E46-січень!E46</f>
        <v>55</v>
      </c>
      <c r="N46" s="111">
        <f>F46-січень!F46</f>
        <v>1.1600000000000001</v>
      </c>
      <c r="O46" s="112">
        <f t="shared" si="9"/>
        <v>-53.84</v>
      </c>
      <c r="P46" s="110">
        <f t="shared" si="12"/>
        <v>2.1090909090909093</v>
      </c>
      <c r="Q46" s="42"/>
      <c r="R46" s="100"/>
    </row>
    <row r="47" spans="1:18" s="6" customFormat="1" ht="15" hidden="1">
      <c r="A47" s="8"/>
      <c r="B47" s="55" t="s">
        <v>99</v>
      </c>
      <c r="C47" s="138">
        <v>22090200</v>
      </c>
      <c r="D47" s="109">
        <v>3</v>
      </c>
      <c r="E47" s="109">
        <v>2</v>
      </c>
      <c r="F47" s="118">
        <v>0.04</v>
      </c>
      <c r="G47" s="36">
        <f t="shared" si="7"/>
        <v>-1.96</v>
      </c>
      <c r="H47" s="111">
        <f t="shared" si="10"/>
        <v>2</v>
      </c>
      <c r="I47" s="110">
        <f t="shared" si="8"/>
        <v>-2.96</v>
      </c>
      <c r="J47" s="110">
        <f t="shared" si="11"/>
        <v>1.3333333333333335</v>
      </c>
      <c r="K47" s="110">
        <f>F47-0</f>
        <v>0.04</v>
      </c>
      <c r="L47" s="110"/>
      <c r="M47" s="111">
        <f>E47-січень!E47</f>
        <v>1</v>
      </c>
      <c r="N47" s="111">
        <f>F47-січень!F47</f>
        <v>0</v>
      </c>
      <c r="O47" s="112">
        <f t="shared" si="9"/>
        <v>-1</v>
      </c>
      <c r="P47" s="110">
        <f t="shared" si="12"/>
        <v>0</v>
      </c>
      <c r="Q47" s="42"/>
      <c r="R47" s="100"/>
    </row>
    <row r="48" spans="1:18" s="6" customFormat="1" ht="15" hidden="1">
      <c r="A48" s="8"/>
      <c r="B48" s="55" t="s">
        <v>100</v>
      </c>
      <c r="C48" s="138">
        <v>22090300</v>
      </c>
      <c r="D48" s="109">
        <v>0.3</v>
      </c>
      <c r="E48" s="109">
        <v>0.2</v>
      </c>
      <c r="F48" s="118">
        <v>0</v>
      </c>
      <c r="G48" s="36">
        <f t="shared" si="7"/>
        <v>-0.2</v>
      </c>
      <c r="H48" s="111">
        <f t="shared" si="10"/>
        <v>0</v>
      </c>
      <c r="I48" s="110">
        <f t="shared" si="8"/>
        <v>-0.3</v>
      </c>
      <c r="J48" s="110">
        <f t="shared" si="11"/>
        <v>0</v>
      </c>
      <c r="K48" s="110">
        <f>F48-0</f>
        <v>0</v>
      </c>
      <c r="L48" s="110"/>
      <c r="M48" s="111">
        <f>E48-січень!E48</f>
        <v>0.1</v>
      </c>
      <c r="N48" s="111">
        <f>F48-січень!F48</f>
        <v>0</v>
      </c>
      <c r="O48" s="112">
        <f t="shared" si="9"/>
        <v>-0.1</v>
      </c>
      <c r="P48" s="110">
        <f t="shared" si="12"/>
        <v>0</v>
      </c>
      <c r="Q48" s="42"/>
      <c r="R48" s="100"/>
    </row>
    <row r="49" spans="1:18" s="6" customFormat="1" ht="15" hidden="1">
      <c r="A49" s="8"/>
      <c r="B49" s="55" t="s">
        <v>101</v>
      </c>
      <c r="C49" s="138">
        <v>22090400</v>
      </c>
      <c r="D49" s="109">
        <v>1350</v>
      </c>
      <c r="E49" s="109">
        <v>900</v>
      </c>
      <c r="F49" s="118">
        <v>400.14</v>
      </c>
      <c r="G49" s="36">
        <f t="shared" si="7"/>
        <v>-499.86</v>
      </c>
      <c r="H49" s="111">
        <f t="shared" si="10"/>
        <v>44.46</v>
      </c>
      <c r="I49" s="110">
        <f t="shared" si="8"/>
        <v>-949.86</v>
      </c>
      <c r="J49" s="110">
        <f t="shared" si="11"/>
        <v>29.64</v>
      </c>
      <c r="K49" s="110">
        <f>F49-117.58</f>
        <v>282.56</v>
      </c>
      <c r="L49" s="110">
        <f>F49/117.58*100</f>
        <v>340.31297839768666</v>
      </c>
      <c r="M49" s="111">
        <f>E49-січень!E49</f>
        <v>450</v>
      </c>
      <c r="N49" s="111">
        <f>F49-січень!F49</f>
        <v>17.96999999999997</v>
      </c>
      <c r="O49" s="112">
        <f t="shared" si="9"/>
        <v>-432.03000000000003</v>
      </c>
      <c r="P49" s="110">
        <f t="shared" si="12"/>
        <v>3.9933333333333265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17">
        <v>0.17</v>
      </c>
      <c r="G50" s="36">
        <f t="shared" si="7"/>
        <v>0.17</v>
      </c>
      <c r="H50" s="32"/>
      <c r="I50" s="42">
        <f t="shared" si="8"/>
        <v>0.17</v>
      </c>
      <c r="J50" s="42"/>
      <c r="K50" s="42">
        <f>F50-0</f>
        <v>0.17</v>
      </c>
      <c r="L50" s="42"/>
      <c r="M50" s="32">
        <f>E50-січень!E50</f>
        <v>0</v>
      </c>
      <c r="N50" s="32">
        <f>F50-січень!F50</f>
        <v>0</v>
      </c>
      <c r="O50" s="40">
        <f t="shared" si="9"/>
        <v>0</v>
      </c>
      <c r="P50" s="42"/>
      <c r="Q50" s="42">
        <f>N50-0</f>
        <v>0</v>
      </c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700</v>
      </c>
      <c r="F51" s="117">
        <v>326.31</v>
      </c>
      <c r="G51" s="36">
        <f t="shared" si="7"/>
        <v>-373.69</v>
      </c>
      <c r="H51" s="32">
        <f t="shared" si="10"/>
        <v>46.61571428571429</v>
      </c>
      <c r="I51" s="42">
        <f t="shared" si="8"/>
        <v>-723.69</v>
      </c>
      <c r="J51" s="42">
        <f t="shared" si="11"/>
        <v>31.07714285714286</v>
      </c>
      <c r="K51" s="42">
        <f>F51-263.2</f>
        <v>63.110000000000014</v>
      </c>
      <c r="L51" s="42">
        <f>F51/3812.69*100</f>
        <v>8.558524296494076</v>
      </c>
      <c r="M51" s="32">
        <f>E51-січень!E51</f>
        <v>350</v>
      </c>
      <c r="N51" s="32">
        <f>F51-січень!F51</f>
        <v>8.329999999999984</v>
      </c>
      <c r="O51" s="40">
        <f t="shared" si="9"/>
        <v>-341.67</v>
      </c>
      <c r="P51" s="42">
        <f t="shared" si="12"/>
        <v>2.3799999999999955</v>
      </c>
      <c r="Q51" s="42">
        <f>N51-277.38</f>
        <v>-269.05</v>
      </c>
      <c r="R51" s="100">
        <f>N51/277.38</f>
        <v>0.030031004398298308</v>
      </c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1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2">
        <f>E52-січень!E52</f>
        <v>0</v>
      </c>
      <c r="N52" s="32">
        <f>F52-січень!F52</f>
        <v>0</v>
      </c>
      <c r="O52" s="40">
        <f t="shared" si="9"/>
        <v>0</v>
      </c>
      <c r="P52" s="42" t="e">
        <f t="shared" si="12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18">
        <v>76.2</v>
      </c>
      <c r="G53" s="36">
        <f t="shared" si="7"/>
        <v>76.2</v>
      </c>
      <c r="H53" s="32"/>
      <c r="I53" s="42">
        <f t="shared" si="8"/>
        <v>76.2</v>
      </c>
      <c r="J53" s="42"/>
      <c r="K53" s="112">
        <f>F53-82.7</f>
        <v>-6.5</v>
      </c>
      <c r="L53" s="112">
        <f>F53/82.7*100</f>
        <v>92.14026602176541</v>
      </c>
      <c r="M53" s="111">
        <f>E53-січень!E53</f>
        <v>0</v>
      </c>
      <c r="N53" s="111">
        <f>F53-січень!F53</f>
        <v>6</v>
      </c>
      <c r="O53" s="112">
        <f t="shared" si="9"/>
        <v>6</v>
      </c>
      <c r="P53" s="42"/>
      <c r="Q53" s="42">
        <f>N53-64.93</f>
        <v>-58.93000000000001</v>
      </c>
      <c r="R53" s="100">
        <f>N53/64.93</f>
        <v>0.09240720776220544</v>
      </c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2">
        <f>E54-січень!E54</f>
        <v>0</v>
      </c>
      <c r="N54" s="32">
        <f>F54-січень!F54</f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17">
        <v>32.19</v>
      </c>
      <c r="G55" s="36">
        <f t="shared" si="7"/>
        <v>32.19</v>
      </c>
      <c r="H55" s="32"/>
      <c r="I55" s="42">
        <f t="shared" si="8"/>
        <v>32.19</v>
      </c>
      <c r="J55" s="42"/>
      <c r="K55" s="42">
        <f>F55-0</f>
        <v>32.19</v>
      </c>
      <c r="L55" s="42"/>
      <c r="M55" s="32">
        <f>E55-січень!E55</f>
        <v>0</v>
      </c>
      <c r="N55" s="32">
        <f>F55-січень!F55</f>
        <v>0</v>
      </c>
      <c r="O55" s="40">
        <f t="shared" si="9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</v>
      </c>
      <c r="E56" s="33">
        <v>2</v>
      </c>
      <c r="F56" s="117">
        <v>1</v>
      </c>
      <c r="G56" s="36">
        <f t="shared" si="7"/>
        <v>-1</v>
      </c>
      <c r="H56" s="32">
        <f t="shared" si="10"/>
        <v>50</v>
      </c>
      <c r="I56" s="42">
        <f t="shared" si="8"/>
        <v>-2</v>
      </c>
      <c r="J56" s="42">
        <f t="shared" si="11"/>
        <v>33.33333333333333</v>
      </c>
      <c r="K56" s="42">
        <f>F56-1.8</f>
        <v>-0.8</v>
      </c>
      <c r="L56" s="42">
        <f>F56/1.8*100</f>
        <v>55.55555555555556</v>
      </c>
      <c r="M56" s="32">
        <f>E56-січень!E56</f>
        <v>1</v>
      </c>
      <c r="N56" s="32">
        <f>F56-січень!F56</f>
        <v>0</v>
      </c>
      <c r="O56" s="40">
        <f t="shared" si="9"/>
        <v>-1</v>
      </c>
      <c r="P56" s="42">
        <f t="shared" si="12"/>
        <v>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17">
        <v>0</v>
      </c>
      <c r="G57" s="36">
        <f t="shared" si="7"/>
        <v>0</v>
      </c>
      <c r="H57" s="32"/>
      <c r="I57" s="42">
        <f t="shared" si="8"/>
        <v>0</v>
      </c>
      <c r="J57" s="42"/>
      <c r="K57" s="42">
        <f>F57-0.02</f>
        <v>-0.02</v>
      </c>
      <c r="L57" s="42"/>
      <c r="M57" s="32">
        <f>E57-січень!E57</f>
        <v>0</v>
      </c>
      <c r="N57" s="32">
        <f>F57-січень!F57</f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109957.62999999999</v>
      </c>
      <c r="F58" s="15">
        <f>F8+F33+F56+F57</f>
        <v>64940.740000000005</v>
      </c>
      <c r="G58" s="37">
        <f>F58-E58</f>
        <v>-45016.889999999985</v>
      </c>
      <c r="H58" s="38">
        <f>F58/E58*100</f>
        <v>59.059785119049955</v>
      </c>
      <c r="I58" s="28">
        <f>F58-D58</f>
        <v>-99022.50999999997</v>
      </c>
      <c r="J58" s="28">
        <f>F58/D58*100</f>
        <v>39.60688751900198</v>
      </c>
      <c r="K58" s="28">
        <f>K8+K33+K56+K57</f>
        <v>26201.199999999997</v>
      </c>
      <c r="L58" s="28">
        <f>F58/38738.5*100</f>
        <v>167.63875730862063</v>
      </c>
      <c r="M58" s="15">
        <f>M8+M33+M56+M57</f>
        <v>55063.30999999999</v>
      </c>
      <c r="N58" s="15">
        <f>N8+N33+N56+N57</f>
        <v>2328.1400000000003</v>
      </c>
      <c r="O58" s="41">
        <f>N58-M58</f>
        <v>-52735.16999999999</v>
      </c>
      <c r="P58" s="28">
        <f>N58/M58*100</f>
        <v>4.22811487358824</v>
      </c>
      <c r="Q58" s="28">
        <f>N58-34768</f>
        <v>-32439.86</v>
      </c>
      <c r="R58" s="128">
        <f>N58/34768</f>
        <v>0.06696214910262312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113</v>
      </c>
      <c r="C63" s="150">
        <v>12020000</v>
      </c>
      <c r="D63" s="25">
        <v>0</v>
      </c>
      <c r="E63" s="25">
        <v>0</v>
      </c>
      <c r="F63" s="120">
        <v>8.75</v>
      </c>
      <c r="G63" s="36"/>
      <c r="H63" s="32"/>
      <c r="I63" s="43"/>
      <c r="J63" s="43"/>
      <c r="K63" s="43"/>
      <c r="L63" s="43"/>
      <c r="M63" s="33"/>
      <c r="N63" s="33">
        <f>F63-січень!F63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20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F64-січень!F64</f>
        <v>0</v>
      </c>
      <c r="O64" s="40">
        <f>N64-M64</f>
        <v>0</v>
      </c>
      <c r="P64" s="43"/>
      <c r="Q64" s="43">
        <f>N64-24.53</f>
        <v>-24.53</v>
      </c>
      <c r="R64" s="103">
        <f>N64/24.53</f>
        <v>0</v>
      </c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0</v>
      </c>
      <c r="O65" s="44">
        <f>N65-M65</f>
        <v>0</v>
      </c>
      <c r="P65" s="44"/>
      <c r="Q65" s="44">
        <f>N65-92.85</f>
        <v>-92.85</v>
      </c>
      <c r="R65" s="104">
        <f>N65/92.85</f>
        <v>0</v>
      </c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20">
        <v>0.06</v>
      </c>
      <c r="G67" s="36">
        <f aca="true" t="shared" si="13" ref="G67:G76">F67-E67</f>
        <v>0.06</v>
      </c>
      <c r="H67" s="32"/>
      <c r="I67" s="43">
        <f aca="true" t="shared" si="14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E67-січень!E67</f>
        <v>0</v>
      </c>
      <c r="N67" s="32">
        <f>F67-січень!F67</f>
        <v>0</v>
      </c>
      <c r="O67" s="40">
        <f aca="true" t="shared" si="15" ref="O67:O79">N67-M67</f>
        <v>0</v>
      </c>
      <c r="P67" s="43"/>
      <c r="Q67" s="43">
        <f>N67-0.04</f>
        <v>-0.04</v>
      </c>
      <c r="R67" s="103">
        <f>N67/0.04</f>
        <v>0</v>
      </c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20">
        <v>22.91</v>
      </c>
      <c r="G68" s="36">
        <f t="shared" si="13"/>
        <v>22.91</v>
      </c>
      <c r="H68" s="32"/>
      <c r="I68" s="43">
        <f t="shared" si="14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E68-січень!E68</f>
        <v>0</v>
      </c>
      <c r="N68" s="32">
        <f>F68-січень!F68</f>
        <v>0</v>
      </c>
      <c r="O68" s="40">
        <f t="shared" si="15"/>
        <v>0</v>
      </c>
      <c r="P68" s="43"/>
      <c r="Q68" s="43">
        <f>N68-450.01</f>
        <v>-450.01</v>
      </c>
      <c r="R68" s="103">
        <f>N68/450.01</f>
        <v>0</v>
      </c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20">
        <v>282.85</v>
      </c>
      <c r="G69" s="36">
        <f t="shared" si="13"/>
        <v>282.85</v>
      </c>
      <c r="H69" s="32"/>
      <c r="I69" s="43">
        <f t="shared" si="14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E69-січень!E69</f>
        <v>0</v>
      </c>
      <c r="N69" s="32">
        <f>F69-січень!F69</f>
        <v>0</v>
      </c>
      <c r="O69" s="40">
        <f t="shared" si="15"/>
        <v>0</v>
      </c>
      <c r="P69" s="43"/>
      <c r="Q69" s="43">
        <f>N69-1.05</f>
        <v>-1.05</v>
      </c>
      <c r="R69" s="103">
        <f>N69/1.05</f>
        <v>0</v>
      </c>
    </row>
    <row r="70" spans="2:18" ht="15">
      <c r="B70" s="23" t="s">
        <v>114</v>
      </c>
      <c r="C70" s="78">
        <v>24110700</v>
      </c>
      <c r="D70" s="25">
        <v>0</v>
      </c>
      <c r="E70" s="25">
        <v>0</v>
      </c>
      <c r="F70" s="120">
        <v>1</v>
      </c>
      <c r="G70" s="36">
        <f t="shared" si="13"/>
        <v>1</v>
      </c>
      <c r="H70" s="32"/>
      <c r="I70" s="43">
        <f t="shared" si="14"/>
        <v>1</v>
      </c>
      <c r="J70" s="43"/>
      <c r="K70" s="43"/>
      <c r="L70" s="43"/>
      <c r="M70" s="32">
        <f>E70-січень!E70</f>
        <v>0</v>
      </c>
      <c r="N70" s="32">
        <f>F70-січень!F70</f>
        <v>0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306.82000000000005</v>
      </c>
      <c r="J71" s="44"/>
      <c r="K71" s="44">
        <f>K67+K68+K69</f>
        <v>62.14000000000004</v>
      </c>
      <c r="L71" s="44">
        <f>F71/243.68*100</f>
        <v>125.91103086014448</v>
      </c>
      <c r="M71" s="45">
        <f>M67+M68+M69</f>
        <v>0</v>
      </c>
      <c r="N71" s="45">
        <f>N67+N68+N69</f>
        <v>0</v>
      </c>
      <c r="O71" s="44">
        <f t="shared" si="15"/>
        <v>0</v>
      </c>
      <c r="P71" s="44"/>
      <c r="Q71" s="44">
        <f>N71-7985.28</f>
        <v>-7985.28</v>
      </c>
      <c r="R71" s="129">
        <f>N71/7985.28</f>
        <v>0</v>
      </c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0</v>
      </c>
      <c r="J72" s="43"/>
      <c r="K72" s="43">
        <f>F72-0</f>
        <v>0</v>
      </c>
      <c r="L72" s="43">
        <f>F72/35.01*100</f>
        <v>0</v>
      </c>
      <c r="M72" s="32">
        <f>E72-січень!E72</f>
        <v>0</v>
      </c>
      <c r="N72" s="32">
        <f>F72-січень!F72</f>
        <v>0</v>
      </c>
      <c r="O72" s="40">
        <f t="shared" si="15"/>
        <v>0</v>
      </c>
      <c r="P72" s="43"/>
      <c r="Q72" s="43">
        <f>N72-0.16</f>
        <v>-0.16</v>
      </c>
      <c r="R72" s="103">
        <f>N72/0.16</f>
        <v>0</v>
      </c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32">
        <f>F73-січень!F73</f>
        <v>0</v>
      </c>
      <c r="O73" s="40">
        <f t="shared" si="15"/>
        <v>0</v>
      </c>
      <c r="P73" s="46"/>
      <c r="Q73" s="46">
        <f>N73-8.76</f>
        <v>-8.76</v>
      </c>
      <c r="R73" s="105">
        <f>N73/8.76</f>
        <v>0</v>
      </c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20">
        <v>0.12</v>
      </c>
      <c r="G74" s="36">
        <f t="shared" si="13"/>
        <v>0.12</v>
      </c>
      <c r="H74" s="32"/>
      <c r="I74" s="43">
        <f t="shared" si="14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>E74-січень!E74</f>
        <v>0</v>
      </c>
      <c r="N74" s="32">
        <f>F74-січень!F74</f>
        <v>0</v>
      </c>
      <c r="O74" s="40">
        <f t="shared" si="15"/>
        <v>0</v>
      </c>
      <c r="P74" s="43"/>
      <c r="Q74" s="43">
        <f>N74-(-0.21)</f>
        <v>0.21</v>
      </c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19">
        <f>F72+F74+F73</f>
        <v>0.12</v>
      </c>
      <c r="G75" s="45">
        <f t="shared" si="13"/>
        <v>0.12</v>
      </c>
      <c r="H75" s="52"/>
      <c r="I75" s="44">
        <f t="shared" si="14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</v>
      </c>
      <c r="O75" s="44">
        <f t="shared" si="15"/>
        <v>0</v>
      </c>
      <c r="P75" s="44"/>
      <c r="Q75" s="44">
        <f>N75-26.38</f>
        <v>-26.38</v>
      </c>
      <c r="R75" s="102">
        <f>N75/26.38</f>
        <v>0</v>
      </c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20">
        <v>0.35</v>
      </c>
      <c r="G76" s="36">
        <f t="shared" si="13"/>
        <v>0.35</v>
      </c>
      <c r="H76" s="32"/>
      <c r="I76" s="43">
        <f t="shared" si="14"/>
        <v>0.35</v>
      </c>
      <c r="J76" s="43"/>
      <c r="K76" s="43">
        <f>F76-0.59</f>
        <v>-0.24</v>
      </c>
      <c r="L76" s="43">
        <f>F76/0.59*100</f>
        <v>59.32203389830508</v>
      </c>
      <c r="M76" s="32">
        <f>E76-січень!E76</f>
        <v>0</v>
      </c>
      <c r="N76" s="32">
        <f>F76-січень!F76</f>
        <v>0</v>
      </c>
      <c r="O76" s="40">
        <f t="shared" si="15"/>
        <v>0</v>
      </c>
      <c r="P76" s="43"/>
      <c r="Q76" s="43">
        <f>N76-0.45</f>
        <v>-0.45</v>
      </c>
      <c r="R76" s="103">
        <f>N76/0.45</f>
        <v>0</v>
      </c>
    </row>
    <row r="77" spans="2:18" ht="15" hidden="1">
      <c r="B77" s="137"/>
      <c r="C77" s="48"/>
      <c r="D77" s="25"/>
      <c r="E77" s="25"/>
      <c r="F77" s="120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15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24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57.18000000000004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0</v>
      </c>
      <c r="O78" s="28">
        <f t="shared" si="15"/>
        <v>0</v>
      </c>
      <c r="P78" s="28"/>
      <c r="Q78" s="28">
        <f>N78-8104.96</f>
        <v>-8104.96</v>
      </c>
      <c r="R78" s="101">
        <f>N78/8104.96</f>
        <v>0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109957.62999999999</v>
      </c>
      <c r="F79" s="24">
        <f>F58+F78</f>
        <v>65256.51</v>
      </c>
      <c r="G79" s="37">
        <f>F79-E79</f>
        <v>-44701.11999999999</v>
      </c>
      <c r="H79" s="38">
        <f>F79/E79*100</f>
        <v>59.346959369713595</v>
      </c>
      <c r="I79" s="28">
        <f>F79-D79</f>
        <v>-98706.73999999996</v>
      </c>
      <c r="J79" s="28">
        <f>F79/D79*100</f>
        <v>39.79947335759691</v>
      </c>
      <c r="K79" s="28">
        <f>K58+K78</f>
        <v>26258.379999999997</v>
      </c>
      <c r="L79" s="28">
        <f>F79/38987.36*100</f>
        <v>167.37863245934068</v>
      </c>
      <c r="M79" s="15">
        <f>M58+M78</f>
        <v>55063.30999999999</v>
      </c>
      <c r="N79" s="15">
        <f>N58+N78</f>
        <v>2328.1400000000003</v>
      </c>
      <c r="O79" s="28">
        <f t="shared" si="15"/>
        <v>-52735.16999999999</v>
      </c>
      <c r="P79" s="28">
        <f>N79/M79*100</f>
        <v>4.22811487358824</v>
      </c>
      <c r="Q79" s="28">
        <f>N79-42872.96</f>
        <v>-40544.82</v>
      </c>
      <c r="R79" s="101">
        <f>N79/42872.96</f>
        <v>0.05430322515636896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20</v>
      </c>
      <c r="D81" s="4" t="s">
        <v>36</v>
      </c>
    </row>
    <row r="82" spans="2:17" ht="30.75">
      <c r="B82" s="57" t="s">
        <v>54</v>
      </c>
      <c r="C82" s="31">
        <f>IF(O58&lt;0,ABS(O58/C81),0)</f>
        <v>2636.7584999999995</v>
      </c>
      <c r="D82" s="4" t="s">
        <v>24</v>
      </c>
      <c r="G82" s="168"/>
      <c r="H82" s="168"/>
      <c r="I82" s="168"/>
      <c r="J82" s="168"/>
      <c r="K82" s="90"/>
      <c r="L82" s="90"/>
      <c r="P82" s="26"/>
      <c r="Q82" s="26"/>
    </row>
    <row r="83" spans="2:15" ht="34.5" customHeight="1">
      <c r="B83" s="58" t="s">
        <v>56</v>
      </c>
      <c r="C83" s="87">
        <v>42401</v>
      </c>
      <c r="D83" s="31">
        <v>2328.1</v>
      </c>
      <c r="G83" s="4" t="s">
        <v>59</v>
      </c>
      <c r="N83" s="161"/>
      <c r="O83" s="161"/>
    </row>
    <row r="84" spans="3:15" ht="15">
      <c r="C84" s="87">
        <v>42398</v>
      </c>
      <c r="D84" s="31">
        <v>8683.3</v>
      </c>
      <c r="F84" s="124" t="s">
        <v>59</v>
      </c>
      <c r="G84" s="155"/>
      <c r="H84" s="155"/>
      <c r="I84" s="131"/>
      <c r="J84" s="158"/>
      <c r="K84" s="158"/>
      <c r="L84" s="158"/>
      <c r="M84" s="158"/>
      <c r="N84" s="161"/>
      <c r="O84" s="161"/>
    </row>
    <row r="85" spans="3:15" ht="15.75" customHeight="1">
      <c r="C85" s="87">
        <v>42397</v>
      </c>
      <c r="D85" s="31">
        <v>8685</v>
      </c>
      <c r="F85" s="73"/>
      <c r="G85" s="155"/>
      <c r="H85" s="155"/>
      <c r="I85" s="131"/>
      <c r="J85" s="162"/>
      <c r="K85" s="162"/>
      <c r="L85" s="162"/>
      <c r="M85" s="162"/>
      <c r="N85" s="161"/>
      <c r="O85" s="161"/>
    </row>
    <row r="86" spans="3:13" ht="15.75" customHeight="1">
      <c r="C86" s="87"/>
      <c r="F86" s="73"/>
      <c r="G86" s="157"/>
      <c r="H86" s="157"/>
      <c r="I86" s="139"/>
      <c r="J86" s="158"/>
      <c r="K86" s="158"/>
      <c r="L86" s="158"/>
      <c r="M86" s="158"/>
    </row>
    <row r="87" spans="2:13" ht="18.75" customHeight="1">
      <c r="B87" s="159" t="s">
        <v>57</v>
      </c>
      <c r="C87" s="160"/>
      <c r="D87" s="148">
        <v>300.91717</v>
      </c>
      <c r="E87" s="74"/>
      <c r="F87" s="140"/>
      <c r="G87" s="155"/>
      <c r="H87" s="155"/>
      <c r="I87" s="141"/>
      <c r="J87" s="158"/>
      <c r="K87" s="158"/>
      <c r="L87" s="158"/>
      <c r="M87" s="158"/>
    </row>
    <row r="88" spans="6:12" ht="9.75" customHeight="1">
      <c r="F88" s="73"/>
      <c r="G88" s="155"/>
      <c r="H88" s="155"/>
      <c r="I88" s="73"/>
      <c r="J88" s="74"/>
      <c r="K88" s="74"/>
      <c r="L88" s="74"/>
    </row>
    <row r="89" spans="2:12" ht="22.5" customHeight="1" hidden="1">
      <c r="B89" s="153" t="s">
        <v>60</v>
      </c>
      <c r="C89" s="154"/>
      <c r="D89" s="86">
        <v>0</v>
      </c>
      <c r="E89" s="56" t="s">
        <v>24</v>
      </c>
      <c r="F89" s="73"/>
      <c r="G89" s="155"/>
      <c r="H89" s="155"/>
      <c r="I89" s="73"/>
      <c r="J89" s="74"/>
      <c r="K89" s="74"/>
      <c r="L89" s="74"/>
    </row>
    <row r="90" spans="4:15" ht="15">
      <c r="D90" s="84"/>
      <c r="F90" s="73"/>
      <c r="G90" s="74"/>
      <c r="H90" s="74"/>
      <c r="I90" s="74"/>
      <c r="N90" s="155"/>
      <c r="O90" s="155"/>
    </row>
    <row r="91" spans="4:15" ht="15">
      <c r="D91" s="83"/>
      <c r="I91" s="31"/>
      <c r="N91" s="156"/>
      <c r="O91" s="156"/>
    </row>
    <row r="92" spans="14:15" ht="15">
      <c r="N92" s="155"/>
      <c r="O92" s="155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2:J82"/>
    <mergeCell ref="N83:O83"/>
    <mergeCell ref="G88:H88"/>
    <mergeCell ref="G84:H84"/>
    <mergeCell ref="J84:M84"/>
    <mergeCell ref="N84:O84"/>
    <mergeCell ref="G85:H85"/>
    <mergeCell ref="J85:M85"/>
    <mergeCell ref="N85:O85"/>
    <mergeCell ref="B89:C89"/>
    <mergeCell ref="G89:H89"/>
    <mergeCell ref="N90:O90"/>
    <mergeCell ref="N91:O91"/>
    <mergeCell ref="N92:O92"/>
    <mergeCell ref="G86:H86"/>
    <mergeCell ref="J86:M86"/>
    <mergeCell ref="B87:C87"/>
    <mergeCell ref="G87:H87"/>
    <mergeCell ref="J87:M87"/>
  </mergeCells>
  <printOptions/>
  <pageMargins left="0.1968503937007874" right="0.1968503937007874" top="0.1968503937007874" bottom="0.1968503937007874" header="0.1968503937007874" footer="0.1968503937007874"/>
  <pageSetup fitToHeight="1" fitToWidth="1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1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21" sqref="C2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00390625" style="4" hidden="1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75" t="s">
        <v>115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92"/>
      <c r="R1" s="93"/>
    </row>
    <row r="2" spans="2:18" s="1" customFormat="1" ht="15.75" customHeight="1">
      <c r="B2" s="176"/>
      <c r="C2" s="176"/>
      <c r="D2" s="17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77"/>
      <c r="B3" s="179"/>
      <c r="C3" s="180" t="s">
        <v>0</v>
      </c>
      <c r="D3" s="181" t="s">
        <v>116</v>
      </c>
      <c r="E3" s="34"/>
      <c r="F3" s="182" t="s">
        <v>26</v>
      </c>
      <c r="G3" s="183"/>
      <c r="H3" s="183"/>
      <c r="I3" s="183"/>
      <c r="J3" s="184"/>
      <c r="K3" s="89"/>
      <c r="L3" s="89"/>
      <c r="M3" s="185" t="s">
        <v>108</v>
      </c>
      <c r="N3" s="186" t="s">
        <v>66</v>
      </c>
      <c r="O3" s="186"/>
      <c r="P3" s="186"/>
      <c r="Q3" s="186"/>
      <c r="R3" s="186"/>
    </row>
    <row r="4" spans="1:18" ht="22.5" customHeight="1">
      <c r="A4" s="177"/>
      <c r="B4" s="179"/>
      <c r="C4" s="180"/>
      <c r="D4" s="181"/>
      <c r="E4" s="187" t="s">
        <v>105</v>
      </c>
      <c r="F4" s="169" t="s">
        <v>34</v>
      </c>
      <c r="G4" s="163" t="s">
        <v>110</v>
      </c>
      <c r="H4" s="171" t="s">
        <v>111</v>
      </c>
      <c r="I4" s="163" t="s">
        <v>106</v>
      </c>
      <c r="J4" s="171" t="s">
        <v>107</v>
      </c>
      <c r="K4" s="91" t="s">
        <v>65</v>
      </c>
      <c r="L4" s="96" t="s">
        <v>64</v>
      </c>
      <c r="M4" s="171"/>
      <c r="N4" s="173" t="s">
        <v>104</v>
      </c>
      <c r="O4" s="163" t="s">
        <v>50</v>
      </c>
      <c r="P4" s="165" t="s">
        <v>49</v>
      </c>
      <c r="Q4" s="97" t="s">
        <v>65</v>
      </c>
      <c r="R4" s="98" t="s">
        <v>64</v>
      </c>
    </row>
    <row r="5" spans="1:18" ht="92.25" customHeight="1">
      <c r="A5" s="178"/>
      <c r="B5" s="179"/>
      <c r="C5" s="180"/>
      <c r="D5" s="181"/>
      <c r="E5" s="188"/>
      <c r="F5" s="170"/>
      <c r="G5" s="164"/>
      <c r="H5" s="172"/>
      <c r="I5" s="164"/>
      <c r="J5" s="172"/>
      <c r="K5" s="166" t="s">
        <v>109</v>
      </c>
      <c r="L5" s="167"/>
      <c r="M5" s="172"/>
      <c r="N5" s="174"/>
      <c r="O5" s="164"/>
      <c r="P5" s="165"/>
      <c r="Q5" s="166" t="s">
        <v>67</v>
      </c>
      <c r="R5" s="16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69</v>
      </c>
      <c r="M6" s="10" t="s">
        <v>70</v>
      </c>
      <c r="N6" s="10" t="s">
        <v>71</v>
      </c>
      <c r="O6" s="10" t="s">
        <v>72</v>
      </c>
      <c r="P6" s="10" t="s">
        <v>73</v>
      </c>
      <c r="Q6" s="10" t="s">
        <v>74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">
        <f>F9+F15+F18+F19+F20+F32+F17+F42</f>
        <v>60581.659999999996</v>
      </c>
      <c r="G8" s="15">
        <f aca="true" t="shared" si="0" ref="G8:G15">F8-E8</f>
        <v>8004.439999999995</v>
      </c>
      <c r="H8" s="38">
        <f>F8/E8*100</f>
        <v>115.22415981674192</v>
      </c>
      <c r="I8" s="28">
        <f>F8-D8</f>
        <v>-96419.28999999998</v>
      </c>
      <c r="J8" s="28">
        <f>F8/D8*100</f>
        <v>38.586811098913735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83</v>
      </c>
      <c r="C9" s="48">
        <v>11010000</v>
      </c>
      <c r="D9" s="33">
        <v>80394.55</v>
      </c>
      <c r="E9" s="33">
        <v>27341.52</v>
      </c>
      <c r="F9" s="11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>
        <f>N9-26568.11</f>
        <v>3645.16</v>
      </c>
      <c r="R9" s="107">
        <f>N9/26568.11</f>
        <v>1.1372005761794874</v>
      </c>
    </row>
    <row r="10" spans="1:18" s="6" customFormat="1" ht="15" hidden="1">
      <c r="A10" s="8"/>
      <c r="B10" s="136" t="s">
        <v>94</v>
      </c>
      <c r="C10" s="108">
        <v>11010100</v>
      </c>
      <c r="D10" s="109">
        <v>72484.55</v>
      </c>
      <c r="E10" s="109">
        <v>24361.52</v>
      </c>
      <c r="F10" s="11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F10-310040.1/75*60</f>
        <v>-221148.23999999996</v>
      </c>
      <c r="L10" s="112">
        <f>F10/(310040.1/75*60)*100</f>
        <v>10.838856006045672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 hidden="1">
      <c r="A11" s="8"/>
      <c r="B11" s="136" t="s">
        <v>90</v>
      </c>
      <c r="C11" s="108">
        <v>11010200</v>
      </c>
      <c r="D11" s="109">
        <v>4200</v>
      </c>
      <c r="E11" s="109">
        <v>1500</v>
      </c>
      <c r="F11" s="11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F11-24192.03/75*60</f>
        <v>-16668.683999999997</v>
      </c>
      <c r="L11" s="112">
        <f>F11/(24192.03/75*60)*100</f>
        <v>13.87306067328786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 hidden="1">
      <c r="A12" s="8"/>
      <c r="B12" s="136" t="s">
        <v>93</v>
      </c>
      <c r="C12" s="108">
        <v>11010400</v>
      </c>
      <c r="D12" s="109">
        <v>1220</v>
      </c>
      <c r="E12" s="109">
        <v>650</v>
      </c>
      <c r="F12" s="11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F12-6123.95/75*60</f>
        <v>-4465.55</v>
      </c>
      <c r="L12" s="112">
        <f>F12/(6123.95*60)*100</f>
        <v>0.11800934581982764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 hidden="1">
      <c r="A13" s="8"/>
      <c r="B13" s="136" t="s">
        <v>91</v>
      </c>
      <c r="C13" s="108">
        <v>11010500</v>
      </c>
      <c r="D13" s="109">
        <v>690</v>
      </c>
      <c r="E13" s="109">
        <v>230</v>
      </c>
      <c r="F13" s="11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F13-8694.58/75*60</f>
        <v>-6745.824</v>
      </c>
      <c r="L13" s="112">
        <f>F13/(8694.58/75*60)*100</f>
        <v>3.0168219741494124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 hidden="1">
      <c r="A14" s="8"/>
      <c r="B14" s="136" t="s">
        <v>92</v>
      </c>
      <c r="C14" s="108">
        <v>11010900</v>
      </c>
      <c r="D14" s="109">
        <v>1800</v>
      </c>
      <c r="E14" s="109">
        <v>600</v>
      </c>
      <c r="F14" s="11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F14-146.72/75*60</f>
        <v>-116.33599999999998</v>
      </c>
      <c r="L14" s="112">
        <f>F14/(146.72/75*60)*100</f>
        <v>0.886041439476554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>
        <f>N15-358.81</f>
        <v>-358.81</v>
      </c>
      <c r="R15" s="100">
        <f>N15/358.81</f>
        <v>0</v>
      </c>
    </row>
    <row r="16" spans="1:18" s="6" customFormat="1" ht="15" hidden="1">
      <c r="A16" s="8"/>
      <c r="B16" s="55" t="s">
        <v>68</v>
      </c>
      <c r="C16" s="108">
        <v>11010232</v>
      </c>
      <c r="D16" s="109">
        <v>0</v>
      </c>
      <c r="E16" s="109">
        <v>0</v>
      </c>
      <c r="F16" s="11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89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76</v>
      </c>
      <c r="C18" s="48">
        <v>13030200</v>
      </c>
      <c r="D18" s="33">
        <v>0</v>
      </c>
      <c r="E18" s="33">
        <v>0</v>
      </c>
      <c r="F18" s="11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75</v>
      </c>
      <c r="C19" s="48">
        <v>14040000</v>
      </c>
      <c r="D19" s="36">
        <v>21100</v>
      </c>
      <c r="E19" s="36">
        <v>7000</v>
      </c>
      <c r="F19" s="125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77</v>
      </c>
      <c r="C20" s="48">
        <v>18000000</v>
      </c>
      <c r="D20" s="36">
        <f>D21+D25+D27</f>
        <v>53373.5</v>
      </c>
      <c r="E20" s="36">
        <f>E21+E25+E27</f>
        <v>18234.5</v>
      </c>
      <c r="F20" s="126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85</v>
      </c>
      <c r="C21" s="127">
        <v>18010000</v>
      </c>
      <c r="D21" s="36">
        <f>D22+D23+D24</f>
        <v>32530</v>
      </c>
      <c r="E21" s="36">
        <f>E22+E23+E24</f>
        <v>9720</v>
      </c>
      <c r="F21" s="126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78</v>
      </c>
      <c r="C22" s="138"/>
      <c r="D22" s="109">
        <f>320+378+2002+600</f>
        <v>3300</v>
      </c>
      <c r="E22" s="109">
        <f>45+4+1+200</f>
        <v>250</v>
      </c>
      <c r="F22" s="11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79</v>
      </c>
      <c r="C23" s="138"/>
      <c r="D23" s="109">
        <f>30+30</f>
        <v>60</v>
      </c>
      <c r="E23" s="109">
        <f>10+10</f>
        <v>20</v>
      </c>
      <c r="F23" s="11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80</v>
      </c>
      <c r="C24" s="138"/>
      <c r="D24" s="109">
        <f>7700+17200+170+4100</f>
        <v>29170</v>
      </c>
      <c r="E24" s="109">
        <f>2500+5600+50+1300</f>
        <v>9450</v>
      </c>
      <c r="F24" s="11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86</v>
      </c>
      <c r="C25" s="127">
        <v>18030000</v>
      </c>
      <c r="D25" s="36">
        <v>36</v>
      </c>
      <c r="E25" s="36">
        <v>12</v>
      </c>
      <c r="F25" s="125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87</v>
      </c>
      <c r="C26" s="127">
        <v>18040000</v>
      </c>
      <c r="D26" s="36"/>
      <c r="E26" s="36"/>
      <c r="F26" s="125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88</v>
      </c>
      <c r="C27" s="127">
        <v>18050000</v>
      </c>
      <c r="D27" s="36">
        <v>20807.5</v>
      </c>
      <c r="E27" s="36">
        <v>8502.5</v>
      </c>
      <c r="F27" s="125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 hidden="1">
      <c r="A28" s="8"/>
      <c r="B28" s="55" t="s">
        <v>95</v>
      </c>
      <c r="C28" s="108">
        <v>18050200</v>
      </c>
      <c r="D28" s="109">
        <v>0</v>
      </c>
      <c r="E28" s="109">
        <v>0</v>
      </c>
      <c r="F28" s="118">
        <v>0</v>
      </c>
      <c r="G28" s="36">
        <f t="shared" si="10"/>
        <v>0</v>
      </c>
      <c r="H28" s="32" t="e">
        <f t="shared" si="1"/>
        <v>#DIV/0!</v>
      </c>
      <c r="I28" s="42">
        <f t="shared" si="2"/>
        <v>0</v>
      </c>
      <c r="J28" s="42" t="e">
        <f t="shared" si="3"/>
        <v>#DIV/0!</v>
      </c>
      <c r="K28" s="113">
        <f>F28-1.21</f>
        <v>-1.21</v>
      </c>
      <c r="L28" s="113">
        <f>F28/1.21*100</f>
        <v>0</v>
      </c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 hidden="1">
      <c r="A29" s="8"/>
      <c r="B29" s="55" t="s">
        <v>96</v>
      </c>
      <c r="C29" s="108">
        <v>18050300</v>
      </c>
      <c r="D29" s="109">
        <v>5800</v>
      </c>
      <c r="E29" s="109">
        <v>2500</v>
      </c>
      <c r="F29" s="11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13">
        <f>F29-22211.27</f>
        <v>-20055.3</v>
      </c>
      <c r="L29" s="113">
        <f>F29/22211.27*100</f>
        <v>9.706648921921168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 hidden="1">
      <c r="A30" s="8"/>
      <c r="B30" s="55" t="s">
        <v>97</v>
      </c>
      <c r="C30" s="108">
        <v>18050400</v>
      </c>
      <c r="D30" s="109">
        <v>15000</v>
      </c>
      <c r="E30" s="109">
        <v>6000</v>
      </c>
      <c r="F30" s="11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13">
        <f>F30-57105.32</f>
        <v>-46368.979999999996</v>
      </c>
      <c r="L30" s="113">
        <f>F30/57105.32*100</f>
        <v>18.8009453409945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 hidden="1">
      <c r="A31" s="8"/>
      <c r="B31" s="55" t="s">
        <v>98</v>
      </c>
      <c r="C31" s="108">
        <v>18050500</v>
      </c>
      <c r="D31" s="109">
        <v>7.5</v>
      </c>
      <c r="E31" s="109">
        <v>2.5</v>
      </c>
      <c r="F31" s="11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13">
        <f>F31-0</f>
        <v>3.19</v>
      </c>
      <c r="L31" s="113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25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</f>
        <v>6959.3</v>
      </c>
      <c r="E33" s="15">
        <f>E34+E35+E36+E37+E38+E44+E45+E50+E51+E55+E41+E39+E54</f>
        <v>2316.1</v>
      </c>
      <c r="F33" s="15">
        <f>F34+F35+F36+F37+F38+F44+F45+F50+F51+F55+F41+F39+F54</f>
        <v>2029.94</v>
      </c>
      <c r="G33" s="37">
        <f>F33-E33</f>
        <v>-286.15999999999985</v>
      </c>
      <c r="H33" s="38">
        <f>F33/E33*100</f>
        <v>87.64474763611244</v>
      </c>
      <c r="I33" s="28">
        <f>F33-D33</f>
        <v>-4929.360000000001</v>
      </c>
      <c r="J33" s="28">
        <f>F33/D33*100</f>
        <v>29.16873823516733</v>
      </c>
      <c r="K33" s="15">
        <f>K34+K35+K36+K37+K38+K44+K45+K50+K51+K55+K41</f>
        <v>1007.56</v>
      </c>
      <c r="L33" s="15"/>
      <c r="M33" s="15">
        <f>M34+M35+M36+M37+M38+M44+M45+M50+M51+M55+M41+M39</f>
        <v>2316.1</v>
      </c>
      <c r="N33" s="15">
        <f>N34+N35+N36+N37+N38+N44+N45+N50+N51+N55+N41+N39</f>
        <v>2029.94</v>
      </c>
      <c r="O33" s="15">
        <f>N33/M33*100</f>
        <v>87.64474763611244</v>
      </c>
      <c r="P33" s="15">
        <f>N33/M33*100</f>
        <v>87.64474763611244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103</v>
      </c>
      <c r="C34" s="48">
        <v>21010301</v>
      </c>
      <c r="D34" s="33">
        <v>11</v>
      </c>
      <c r="E34" s="33">
        <v>0</v>
      </c>
      <c r="F34" s="11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>
        <f>N34-0</f>
        <v>4.71</v>
      </c>
      <c r="R34" s="100" t="e">
        <f>N34/0</f>
        <v>#DIV/0!</v>
      </c>
    </row>
    <row r="35" spans="1:18" s="6" customFormat="1" ht="30.75">
      <c r="A35" s="8"/>
      <c r="B35" s="144" t="s">
        <v>81</v>
      </c>
      <c r="C35" s="47">
        <v>21050000</v>
      </c>
      <c r="D35" s="33">
        <v>0</v>
      </c>
      <c r="E35" s="33">
        <v>0</v>
      </c>
      <c r="F35" s="11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>
        <f>N35-0</f>
        <v>0</v>
      </c>
      <c r="R35" s="100" t="e">
        <f>N35/0</f>
        <v>#DIV/0!</v>
      </c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1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>
        <f>N36-4.23</f>
        <v>13.61</v>
      </c>
      <c r="R36" s="100">
        <f>N36/4.23</f>
        <v>4.217494089834515</v>
      </c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1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>
        <f>N37-0</f>
        <v>0</v>
      </c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1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>
        <f>N38-9.02</f>
        <v>-15.42</v>
      </c>
      <c r="R38" s="100">
        <f>N38/9.02</f>
        <v>-0.7095343680709535</v>
      </c>
    </row>
    <row r="39" spans="1:18" s="6" customFormat="1" ht="46.5" hidden="1">
      <c r="A39" s="8"/>
      <c r="B39" s="145" t="s">
        <v>84</v>
      </c>
      <c r="C39" s="54">
        <v>21081500</v>
      </c>
      <c r="D39" s="33">
        <v>0</v>
      </c>
      <c r="E39" s="33"/>
      <c r="F39" s="11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1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82</v>
      </c>
      <c r="C41" s="77">
        <v>22012500</v>
      </c>
      <c r="D41" s="33">
        <v>2250</v>
      </c>
      <c r="E41" s="33">
        <v>750</v>
      </c>
      <c r="F41" s="11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112</v>
      </c>
      <c r="C42" s="77">
        <v>22012600</v>
      </c>
      <c r="D42" s="33">
        <v>0</v>
      </c>
      <c r="E42" s="33">
        <v>0</v>
      </c>
      <c r="F42" s="11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1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1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>
        <f>N44-647.49</f>
        <v>68.74000000000001</v>
      </c>
      <c r="R44" s="100">
        <f>N44/647.49</f>
        <v>1.1061638017575561</v>
      </c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1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>
        <f>N45-79.51</f>
        <v>328.69</v>
      </c>
      <c r="R45" s="100">
        <f>N45/79.51</f>
        <v>5.1339454156709845</v>
      </c>
    </row>
    <row r="46" spans="1:18" s="6" customFormat="1" ht="15" hidden="1">
      <c r="A46" s="8"/>
      <c r="B46" s="55" t="s">
        <v>102</v>
      </c>
      <c r="C46" s="138">
        <v>22090100</v>
      </c>
      <c r="D46" s="109">
        <v>165</v>
      </c>
      <c r="E46" s="109">
        <v>55</v>
      </c>
      <c r="F46" s="11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F46-857.86</f>
        <v>-831.87</v>
      </c>
      <c r="L46" s="110">
        <f>F46/857.86*100</f>
        <v>3.0296318746648634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 hidden="1">
      <c r="A47" s="8"/>
      <c r="B47" s="55" t="s">
        <v>99</v>
      </c>
      <c r="C47" s="138">
        <v>22090200</v>
      </c>
      <c r="D47" s="109">
        <v>3</v>
      </c>
      <c r="E47" s="109">
        <v>1</v>
      </c>
      <c r="F47" s="11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 hidden="1">
      <c r="A48" s="8"/>
      <c r="B48" s="55" t="s">
        <v>100</v>
      </c>
      <c r="C48" s="138">
        <v>22090300</v>
      </c>
      <c r="D48" s="109">
        <v>0.3</v>
      </c>
      <c r="E48" s="109">
        <v>0.1</v>
      </c>
      <c r="F48" s="11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 hidden="1">
      <c r="A49" s="8"/>
      <c r="B49" s="55" t="s">
        <v>101</v>
      </c>
      <c r="C49" s="138">
        <v>22090400</v>
      </c>
      <c r="D49" s="109">
        <v>1350</v>
      </c>
      <c r="E49" s="109">
        <v>450</v>
      </c>
      <c r="F49" s="11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F49-117.58</f>
        <v>264.59000000000003</v>
      </c>
      <c r="L49" s="110">
        <f>F49/117.58*100</f>
        <v>325.02976696717127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1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>
        <f>N50-0</f>
        <v>0.17</v>
      </c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1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F51/3812.69*100</f>
        <v>8.340043381444598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>
        <f>N51-277.38</f>
        <v>40.60000000000002</v>
      </c>
      <c r="R51" s="100">
        <f>N51/277.38</f>
        <v>1.1463696012690172</v>
      </c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1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1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>
        <f>N53-64.93</f>
        <v>5.269999999999996</v>
      </c>
      <c r="R53" s="100">
        <f>N53/64.93</f>
        <v>1.0811643308178036</v>
      </c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1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</v>
      </c>
      <c r="E56" s="33">
        <v>1</v>
      </c>
      <c r="F56" s="11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1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62611.57</v>
      </c>
      <c r="O58" s="41">
        <f>N58-M58</f>
        <v>7717.25</v>
      </c>
      <c r="P58" s="28">
        <f>N58/M58*100</f>
        <v>114.0583761671517</v>
      </c>
      <c r="Q58" s="28">
        <f>N58-34768</f>
        <v>27843.57</v>
      </c>
      <c r="R58" s="128">
        <f>N58/34768</f>
        <v>1.8008389898757478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113</v>
      </c>
      <c r="C63" s="150">
        <v>12020000</v>
      </c>
      <c r="D63" s="25">
        <v>0</v>
      </c>
      <c r="E63" s="25">
        <v>0</v>
      </c>
      <c r="F63" s="120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20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>
        <f>N64-24.53</f>
        <v>-24.8</v>
      </c>
      <c r="R64" s="103">
        <f>N64/24.53</f>
        <v>-0.0110069302894415</v>
      </c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>
        <f>N65-92.85</f>
        <v>-84.36999999999999</v>
      </c>
      <c r="R65" s="104">
        <f>N65/92.85</f>
        <v>0.09133010231556274</v>
      </c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20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>
        <f>N67-0.04</f>
        <v>0.019999999999999997</v>
      </c>
      <c r="R67" s="103">
        <f>N67/0.04</f>
        <v>1.5</v>
      </c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20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>
        <f>N68-450.01</f>
        <v>-427.09999999999997</v>
      </c>
      <c r="R68" s="103">
        <f>N68/450.01</f>
        <v>0.05090997977822715</v>
      </c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20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>
        <f>N69-1.05</f>
        <v>281.8</v>
      </c>
      <c r="R69" s="103">
        <f>N69/1.05</f>
        <v>269.3809523809524</v>
      </c>
    </row>
    <row r="70" spans="2:18" ht="15">
      <c r="B70" s="23" t="s">
        <v>114</v>
      </c>
      <c r="C70" s="78">
        <v>24110700</v>
      </c>
      <c r="D70" s="25">
        <v>0</v>
      </c>
      <c r="E70" s="25">
        <v>0</v>
      </c>
      <c r="F70" s="120">
        <v>1</v>
      </c>
      <c r="G70" s="36">
        <f t="shared" si="19"/>
        <v>1</v>
      </c>
      <c r="H70" s="32"/>
      <c r="I70" s="43">
        <f t="shared" si="20"/>
        <v>1</v>
      </c>
      <c r="J70" s="43"/>
      <c r="K70" s="43"/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19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</f>
        <v>62.14000000000004</v>
      </c>
      <c r="L71" s="44">
        <f>F71/243.68*100</f>
        <v>125.91103086014448</v>
      </c>
      <c r="M71" s="45">
        <f>M67+M68+M69</f>
        <v>0</v>
      </c>
      <c r="N71" s="45">
        <f>N67+N68+N69</f>
        <v>305.82000000000005</v>
      </c>
      <c r="O71" s="44">
        <f t="shared" si="21"/>
        <v>305.82000000000005</v>
      </c>
      <c r="P71" s="44"/>
      <c r="Q71" s="44">
        <f>N71-7985.28</f>
        <v>-7679.46</v>
      </c>
      <c r="R71" s="129">
        <f>N71/7985.28</f>
        <v>0.03829796826160135</v>
      </c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20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>
        <f>F72/35.01*100</f>
        <v>0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>
        <f>N72-0.16</f>
        <v>-0.16</v>
      </c>
      <c r="R72" s="103">
        <f>N72/0.16</f>
        <v>0</v>
      </c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>
        <f>F73/19.48*100</f>
        <v>0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>
        <f>N73-8.76</f>
        <v>-8.76</v>
      </c>
      <c r="R73" s="105">
        <f>N73/8.76</f>
        <v>0</v>
      </c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20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>
        <f>N74-(-0.21)</f>
        <v>0.32999999999999996</v>
      </c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19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>
        <f>N75-26.38</f>
        <v>-26.259999999999998</v>
      </c>
      <c r="R75" s="102">
        <f>N75/26.38</f>
        <v>0.004548900682335102</v>
      </c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20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>
        <f>N76-0.45</f>
        <v>-0.10000000000000003</v>
      </c>
      <c r="R76" s="103">
        <f>N76/0.45</f>
        <v>0.7777777777777777</v>
      </c>
    </row>
    <row r="77" spans="2:18" ht="15" hidden="1">
      <c r="B77" s="137"/>
      <c r="C77" s="48"/>
      <c r="D77" s="25"/>
      <c r="E77" s="25"/>
      <c r="F77" s="120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24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57.18000000000004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314.77000000000004</v>
      </c>
      <c r="O78" s="28">
        <f t="shared" si="21"/>
        <v>314.77000000000004</v>
      </c>
      <c r="P78" s="28"/>
      <c r="Q78" s="28">
        <f>N78-8104.96</f>
        <v>-7790.19</v>
      </c>
      <c r="R78" s="101">
        <f>N78/8104.96</f>
        <v>0.03883671233417562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24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23930.239999999998</v>
      </c>
      <c r="L79" s="28">
        <f>F79/38987.36*100</f>
        <v>161.4071073291446</v>
      </c>
      <c r="M79" s="15">
        <f>M58+M78</f>
        <v>54894.32</v>
      </c>
      <c r="N79" s="15">
        <f>N58+N78</f>
        <v>62926.34</v>
      </c>
      <c r="O79" s="28">
        <f t="shared" si="21"/>
        <v>8032.019999999997</v>
      </c>
      <c r="P79" s="28">
        <f>N79/M79*100</f>
        <v>114.63178704099076</v>
      </c>
      <c r="Q79" s="28">
        <f>N79-42872.96</f>
        <v>20053.379999999997</v>
      </c>
      <c r="R79" s="101">
        <f>N79/42872.96</f>
        <v>1.467739572914956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168"/>
      <c r="H82" s="168"/>
      <c r="I82" s="168"/>
      <c r="J82" s="168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161"/>
      <c r="O83" s="161"/>
    </row>
    <row r="84" spans="3:15" ht="15">
      <c r="C84" s="87">
        <v>42397</v>
      </c>
      <c r="D84" s="31">
        <v>8685</v>
      </c>
      <c r="F84" s="124" t="s">
        <v>59</v>
      </c>
      <c r="G84" s="155"/>
      <c r="H84" s="155"/>
      <c r="I84" s="131"/>
      <c r="J84" s="158"/>
      <c r="K84" s="158"/>
      <c r="L84" s="158"/>
      <c r="M84" s="158"/>
      <c r="N84" s="161"/>
      <c r="O84" s="161"/>
    </row>
    <row r="85" spans="3:15" ht="15.75" customHeight="1">
      <c r="C85" s="87">
        <v>42396</v>
      </c>
      <c r="D85" s="31">
        <v>4820.3</v>
      </c>
      <c r="F85" s="73"/>
      <c r="G85" s="155"/>
      <c r="H85" s="155"/>
      <c r="I85" s="131"/>
      <c r="J85" s="162"/>
      <c r="K85" s="162"/>
      <c r="L85" s="162"/>
      <c r="M85" s="162"/>
      <c r="N85" s="161"/>
      <c r="O85" s="161"/>
    </row>
    <row r="86" spans="3:13" ht="15.75" customHeight="1">
      <c r="C86" s="87"/>
      <c r="F86" s="73"/>
      <c r="G86" s="157"/>
      <c r="H86" s="157"/>
      <c r="I86" s="139"/>
      <c r="J86" s="158"/>
      <c r="K86" s="158"/>
      <c r="L86" s="158"/>
      <c r="M86" s="158"/>
    </row>
    <row r="87" spans="2:13" ht="18.75" customHeight="1">
      <c r="B87" s="159" t="s">
        <v>57</v>
      </c>
      <c r="C87" s="160"/>
      <c r="D87" s="148">
        <v>300.92</v>
      </c>
      <c r="E87" s="74"/>
      <c r="F87" s="140"/>
      <c r="G87" s="155"/>
      <c r="H87" s="155"/>
      <c r="I87" s="141"/>
      <c r="J87" s="158"/>
      <c r="K87" s="158"/>
      <c r="L87" s="158"/>
      <c r="M87" s="158"/>
    </row>
    <row r="88" spans="6:12" ht="9.75" customHeight="1">
      <c r="F88" s="73"/>
      <c r="G88" s="155"/>
      <c r="H88" s="155"/>
      <c r="I88" s="73"/>
      <c r="J88" s="74"/>
      <c r="K88" s="74"/>
      <c r="L88" s="74"/>
    </row>
    <row r="89" spans="2:12" ht="22.5" customHeight="1" hidden="1">
      <c r="B89" s="153" t="s">
        <v>60</v>
      </c>
      <c r="C89" s="154"/>
      <c r="D89" s="86">
        <v>0</v>
      </c>
      <c r="E89" s="56" t="s">
        <v>24</v>
      </c>
      <c r="F89" s="73"/>
      <c r="G89" s="155"/>
      <c r="H89" s="155"/>
      <c r="I89" s="73"/>
      <c r="J89" s="74"/>
      <c r="K89" s="74"/>
      <c r="L89" s="74"/>
    </row>
    <row r="90" spans="4:15" ht="15">
      <c r="D90" s="84"/>
      <c r="F90" s="73"/>
      <c r="G90" s="74"/>
      <c r="H90" s="74"/>
      <c r="I90" s="74"/>
      <c r="N90" s="155"/>
      <c r="O90" s="155"/>
    </row>
    <row r="91" spans="4:15" ht="15">
      <c r="D91" s="83"/>
      <c r="I91" s="31"/>
      <c r="N91" s="156"/>
      <c r="O91" s="156"/>
    </row>
    <row r="92" spans="14:15" ht="15">
      <c r="N92" s="155"/>
      <c r="O92" s="155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2016-02-02T10:59:17Z</cp:lastPrinted>
  <dcterms:created xsi:type="dcterms:W3CDTF">2003-07-28T11:27:56Z</dcterms:created>
  <dcterms:modified xsi:type="dcterms:W3CDTF">2016-02-02T14:25:20Z</dcterms:modified>
  <cp:category/>
  <cp:version/>
  <cp:contentType/>
  <cp:contentStatus/>
</cp:coreProperties>
</file>